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05" yWindow="-105" windowWidth="20730" windowHeight="11760"/>
  </bookViews>
  <sheets>
    <sheet name="Sheet1" sheetId="1" r:id="rId1"/>
  </sheets>
  <definedNames>
    <definedName name="_xlnm._FilterDatabase" localSheetId="0" hidden="1">Sheet1!$CW$1:$CW$325</definedName>
    <definedName name="_xlnm.Print_Area" localSheetId="0">Sheet1!$A$1:$DJ$310</definedName>
    <definedName name="_xlnm.Print_Titles" localSheetId="0">Sheet1!$2:$4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O7" i="1"/>
  <c r="DO10"/>
  <c r="DP10"/>
  <c r="DQ10"/>
  <c r="DR10"/>
  <c r="DO13"/>
  <c r="DP13"/>
  <c r="DQ13"/>
  <c r="DR13"/>
  <c r="DO16"/>
  <c r="DP16"/>
  <c r="DQ16"/>
  <c r="DR16"/>
  <c r="DO19"/>
  <c r="DQ19"/>
  <c r="DQ24" s="1"/>
  <c r="DQ26" s="1"/>
  <c r="DO22"/>
  <c r="DQ22"/>
  <c r="DO24"/>
  <c r="DP24"/>
  <c r="DR24"/>
  <c r="DO26"/>
  <c r="DP26"/>
  <c r="DR26"/>
  <c r="DS26"/>
  <c r="DO28"/>
  <c r="DQ28"/>
  <c r="DP29"/>
  <c r="DQ29"/>
  <c r="DR29"/>
  <c r="DS29"/>
  <c r="DT29"/>
  <c r="DO31"/>
  <c r="DQ31"/>
  <c r="DO32"/>
  <c r="DQ32"/>
  <c r="DO33"/>
  <c r="DP33"/>
  <c r="DR33"/>
  <c r="DS33"/>
  <c r="DT33"/>
  <c r="DU33"/>
  <c r="DO35"/>
  <c r="DO36" s="1"/>
  <c r="DQ35"/>
  <c r="DP36"/>
  <c r="DQ36"/>
  <c r="DR36"/>
  <c r="DS36"/>
  <c r="DT36"/>
  <c r="DU36"/>
  <c r="DO39"/>
  <c r="DP39"/>
  <c r="DQ39"/>
  <c r="DR39"/>
  <c r="DS39"/>
  <c r="DT39"/>
  <c r="DU39"/>
  <c r="DO43"/>
  <c r="DP43"/>
  <c r="DQ43"/>
  <c r="DR43"/>
  <c r="DS43"/>
  <c r="DT43"/>
  <c r="DO47"/>
  <c r="DQ47"/>
  <c r="DQ49" s="1"/>
  <c r="DO49"/>
  <c r="DP49"/>
  <c r="DR49"/>
  <c r="DS49"/>
  <c r="DT49"/>
  <c r="DO52"/>
  <c r="DP52"/>
  <c r="DQ52"/>
  <c r="DR52"/>
  <c r="DS52"/>
  <c r="DT52"/>
  <c r="DU52"/>
  <c r="DK53"/>
  <c r="DL53"/>
  <c r="DO56"/>
  <c r="DP56"/>
  <c r="DQ56"/>
  <c r="DR56"/>
  <c r="DS56"/>
  <c r="DT56"/>
  <c r="DU56"/>
  <c r="DP57"/>
  <c r="DP59" s="1"/>
  <c r="DO59"/>
  <c r="DQ59"/>
  <c r="DR59"/>
  <c r="DS59"/>
  <c r="DO61"/>
  <c r="DO62" s="1"/>
  <c r="DQ61"/>
  <c r="DP62"/>
  <c r="DQ62"/>
  <c r="DR62"/>
  <c r="DS62"/>
  <c r="DT62"/>
  <c r="DO65"/>
  <c r="DP65"/>
  <c r="DQ65"/>
  <c r="DR65"/>
  <c r="DS65"/>
  <c r="DT65"/>
  <c r="DU65"/>
  <c r="DO67"/>
  <c r="DQ67"/>
  <c r="DQ68" s="1"/>
  <c r="DO68"/>
  <c r="DP68"/>
  <c r="DR68"/>
  <c r="DO71"/>
  <c r="DP71"/>
  <c r="DQ71"/>
  <c r="DR71"/>
  <c r="DS71"/>
  <c r="DT71"/>
  <c r="DO75"/>
  <c r="DP75"/>
  <c r="DQ75"/>
  <c r="DR75"/>
  <c r="DS75"/>
  <c r="DO79"/>
  <c r="DP79"/>
  <c r="DQ79"/>
  <c r="DR79"/>
  <c r="DS79"/>
  <c r="DT79"/>
  <c r="DT89" s="1"/>
  <c r="DU79"/>
  <c r="DU89" s="1"/>
  <c r="DO81"/>
  <c r="DQ81"/>
  <c r="DQ82" s="1"/>
  <c r="DO82"/>
  <c r="DP82"/>
  <c r="DR82"/>
  <c r="DS82"/>
  <c r="DT82"/>
  <c r="DO84"/>
  <c r="DQ84"/>
  <c r="DQ85" s="1"/>
  <c r="DO85"/>
  <c r="DP85"/>
  <c r="DR85"/>
  <c r="DS85"/>
  <c r="DT85"/>
  <c r="DU85"/>
  <c r="DR89"/>
  <c r="DS89"/>
  <c r="DO93"/>
  <c r="DP93"/>
  <c r="DQ93"/>
  <c r="DR93"/>
  <c r="DS93"/>
  <c r="DO98"/>
  <c r="DP98"/>
  <c r="DQ98"/>
  <c r="DR98"/>
  <c r="DS98"/>
  <c r="DT98"/>
  <c r="DU98"/>
  <c r="DO100"/>
  <c r="DO101" s="1"/>
  <c r="DQ100"/>
  <c r="DP101"/>
  <c r="DQ101"/>
  <c r="DR101"/>
  <c r="DS101"/>
  <c r="DT101"/>
  <c r="DU101"/>
  <c r="DO104"/>
  <c r="DP104"/>
  <c r="DQ104"/>
  <c r="DR104"/>
  <c r="DS104"/>
  <c r="DT104"/>
  <c r="DU104"/>
  <c r="DO106"/>
  <c r="DO107" s="1"/>
  <c r="DQ106"/>
  <c r="DP107"/>
  <c r="DQ107"/>
  <c r="DR107"/>
  <c r="DS107"/>
  <c r="DT107"/>
  <c r="DU107"/>
  <c r="DO110"/>
  <c r="DP110"/>
  <c r="DQ110"/>
  <c r="DR110"/>
  <c r="DS110"/>
  <c r="DO112"/>
  <c r="DO113" s="1"/>
  <c r="DQ112"/>
  <c r="DP113"/>
  <c r="DQ113"/>
  <c r="DR113"/>
  <c r="DS113"/>
  <c r="DT113"/>
  <c r="DU113"/>
  <c r="DO117"/>
  <c r="DP117"/>
  <c r="DQ117"/>
  <c r="DR117"/>
  <c r="DR135" s="1"/>
  <c r="DS117"/>
  <c r="DT117"/>
  <c r="DU117"/>
  <c r="DO122"/>
  <c r="DP122"/>
  <c r="DQ122"/>
  <c r="DR122"/>
  <c r="DS122"/>
  <c r="DT122"/>
  <c r="DU122"/>
  <c r="DO125"/>
  <c r="DP125"/>
  <c r="DQ125"/>
  <c r="DR125"/>
  <c r="DS125"/>
  <c r="DS135" s="1"/>
  <c r="DT125"/>
  <c r="DU125"/>
  <c r="DO127"/>
  <c r="DO134"/>
  <c r="DP134"/>
  <c r="DQ134"/>
  <c r="DR134"/>
  <c r="DP135"/>
  <c r="DQ135"/>
  <c r="DT135"/>
  <c r="DU135"/>
  <c r="DO138"/>
  <c r="DO139" s="1"/>
  <c r="DO185" s="1"/>
  <c r="DP139"/>
  <c r="DQ139"/>
  <c r="DR139"/>
  <c r="DK140"/>
  <c r="DL140"/>
  <c r="DM140"/>
  <c r="DO142"/>
  <c r="DP142"/>
  <c r="DQ142"/>
  <c r="DR142"/>
  <c r="DS142"/>
  <c r="DO146"/>
  <c r="DP146"/>
  <c r="DQ146"/>
  <c r="DR146"/>
  <c r="DS146"/>
  <c r="DO156"/>
  <c r="DP156"/>
  <c r="DQ156"/>
  <c r="DR156"/>
  <c r="DS156"/>
  <c r="DT156"/>
  <c r="DU156"/>
  <c r="DO160"/>
  <c r="DP160"/>
  <c r="DQ160"/>
  <c r="DR160"/>
  <c r="DS160"/>
  <c r="DT160"/>
  <c r="DU160"/>
  <c r="DO164"/>
  <c r="DP164"/>
  <c r="DQ164"/>
  <c r="DR164"/>
  <c r="DS164"/>
  <c r="DT164"/>
  <c r="DO168"/>
  <c r="DP168"/>
  <c r="DQ168"/>
  <c r="DR168"/>
  <c r="DS168"/>
  <c r="DT168"/>
  <c r="DO172"/>
  <c r="DQ172"/>
  <c r="DO174"/>
  <c r="DP174"/>
  <c r="DQ174"/>
  <c r="DR174"/>
  <c r="DS174"/>
  <c r="DT174"/>
  <c r="DU174"/>
  <c r="DK175"/>
  <c r="DL175"/>
  <c r="DM175"/>
  <c r="DO179"/>
  <c r="DP179"/>
  <c r="DQ179"/>
  <c r="DR179"/>
  <c r="DO184"/>
  <c r="DP184"/>
  <c r="DQ184"/>
  <c r="DQ185" s="1"/>
  <c r="DR184"/>
  <c r="DR185" s="1"/>
  <c r="DS184"/>
  <c r="DT184"/>
  <c r="DP185"/>
  <c r="DS185"/>
  <c r="DT185"/>
  <c r="DO187"/>
  <c r="DP187"/>
  <c r="DQ187"/>
  <c r="DR187"/>
  <c r="DS187"/>
  <c r="DT187"/>
  <c r="DU187"/>
  <c r="DO191"/>
  <c r="DP191"/>
  <c r="DQ191"/>
  <c r="DR191"/>
  <c r="DS191"/>
  <c r="DT191"/>
  <c r="DO195"/>
  <c r="DP195"/>
  <c r="DQ195"/>
  <c r="DR195"/>
  <c r="DS195"/>
  <c r="DT195"/>
  <c r="DU195"/>
  <c r="DO205"/>
  <c r="DP205"/>
  <c r="DQ205"/>
  <c r="DR205"/>
  <c r="DS205"/>
  <c r="DT205"/>
  <c r="DU205"/>
  <c r="DO209"/>
  <c r="DP209"/>
  <c r="DQ209"/>
  <c r="DR209"/>
  <c r="DS209"/>
  <c r="DT209"/>
  <c r="DU209"/>
  <c r="DO213"/>
  <c r="DO223" s="1"/>
  <c r="DP213"/>
  <c r="DQ213"/>
  <c r="DR213"/>
  <c r="DS213"/>
  <c r="DS223" s="1"/>
  <c r="DT213"/>
  <c r="DU213"/>
  <c r="DO217"/>
  <c r="DP217"/>
  <c r="DP223" s="1"/>
  <c r="DQ217"/>
  <c r="DR217"/>
  <c r="DS217"/>
  <c r="DT217"/>
  <c r="DT223" s="1"/>
  <c r="DU217"/>
  <c r="DO221"/>
  <c r="DP221"/>
  <c r="DQ221"/>
  <c r="DQ223" s="1"/>
  <c r="DR221"/>
  <c r="DS221"/>
  <c r="DT221"/>
  <c r="DU221"/>
  <c r="DU223" s="1"/>
  <c r="DR223"/>
  <c r="DO225"/>
  <c r="DP225"/>
  <c r="DQ225"/>
  <c r="DR225"/>
  <c r="DS225"/>
  <c r="DT225"/>
  <c r="DU225"/>
  <c r="DO228"/>
  <c r="DP228"/>
  <c r="DQ228"/>
  <c r="DR228"/>
  <c r="DO235"/>
  <c r="DP235"/>
  <c r="DQ235"/>
  <c r="DR235"/>
  <c r="DO238"/>
  <c r="DP238"/>
  <c r="DQ238"/>
  <c r="DR238"/>
  <c r="DO240"/>
  <c r="DP240"/>
  <c r="DQ240"/>
  <c r="DR240"/>
  <c r="DS240"/>
  <c r="DO245"/>
  <c r="DO248" s="1"/>
  <c r="DQ245"/>
  <c r="DP248"/>
  <c r="DQ248"/>
  <c r="DR248"/>
  <c r="DO250"/>
  <c r="DQ250"/>
  <c r="DO251"/>
  <c r="DO253" s="1"/>
  <c r="DQ251"/>
  <c r="DP253"/>
  <c r="DQ253"/>
  <c r="DQ262" s="1"/>
  <c r="DR253"/>
  <c r="DR262" s="1"/>
  <c r="DK254"/>
  <c r="DL254"/>
  <c r="DO256"/>
  <c r="DP256"/>
  <c r="DQ256"/>
  <c r="DR256"/>
  <c r="DO260"/>
  <c r="DP260"/>
  <c r="DP262" s="1"/>
  <c r="DQ260"/>
  <c r="DR260"/>
  <c r="DS262"/>
  <c r="DT262"/>
  <c r="DK264"/>
  <c r="DL264"/>
  <c r="DO265"/>
  <c r="DP265"/>
  <c r="DQ265"/>
  <c r="DR265"/>
  <c r="DS265"/>
  <c r="DT265"/>
  <c r="DU265"/>
  <c r="DO269"/>
  <c r="DP269"/>
  <c r="DQ269"/>
  <c r="DQ271" s="1"/>
  <c r="DR269"/>
  <c r="DS269"/>
  <c r="DT269"/>
  <c r="DT271" s="1"/>
  <c r="DU269"/>
  <c r="DU271" s="1"/>
  <c r="DO271"/>
  <c r="DR271"/>
  <c r="DS271"/>
  <c r="DO286"/>
  <c r="DP286"/>
  <c r="DP288" s="1"/>
  <c r="DQ286"/>
  <c r="DR286"/>
  <c r="DR288" s="1"/>
  <c r="DS286"/>
  <c r="DT286"/>
  <c r="DT288" s="1"/>
  <c r="DU286"/>
  <c r="DU288" s="1"/>
  <c r="DO288"/>
  <c r="DQ288"/>
  <c r="DS288"/>
  <c r="DO290"/>
  <c r="DP290"/>
  <c r="DQ290"/>
  <c r="DR290"/>
  <c r="DS290"/>
  <c r="DT290"/>
  <c r="DU290"/>
  <c r="DO308"/>
  <c r="DP308"/>
  <c r="DQ308"/>
  <c r="DR308"/>
  <c r="DS308"/>
  <c r="DT308"/>
  <c r="DS310" l="1"/>
  <c r="DU310"/>
  <c r="DO262"/>
  <c r="DQ310"/>
  <c r="DQ33"/>
  <c r="DQ89" s="1"/>
  <c r="DT310"/>
  <c r="DR310"/>
  <c r="DP89"/>
  <c r="DP271"/>
  <c r="DO135"/>
  <c r="DO89"/>
  <c r="DO29"/>
  <c r="CZ170"/>
  <c r="DO310" l="1"/>
  <c r="DP310"/>
  <c r="CV175"/>
  <c r="DN175" s="1"/>
  <c r="CV140"/>
  <c r="DN140" s="1"/>
  <c r="CV53"/>
  <c r="DN53" s="1"/>
  <c r="CV45"/>
  <c r="DC67"/>
  <c r="DC308" l="1"/>
  <c r="DD308"/>
  <c r="DV290"/>
  <c r="CZ290"/>
  <c r="DC290"/>
  <c r="DD290"/>
  <c r="DC286"/>
  <c r="DC288" s="1"/>
  <c r="DD286"/>
  <c r="DD288" s="1"/>
  <c r="DV286"/>
  <c r="DW271"/>
  <c r="DC269"/>
  <c r="DC271" s="1"/>
  <c r="DD269"/>
  <c r="DD271" s="1"/>
  <c r="DV269"/>
  <c r="DV271" s="1"/>
  <c r="DC265"/>
  <c r="DD265"/>
  <c r="DV265"/>
  <c r="DW265"/>
  <c r="CZ260"/>
  <c r="DC260"/>
  <c r="DD260"/>
  <c r="CZ256"/>
  <c r="DC256"/>
  <c r="DD256"/>
  <c r="CZ253"/>
  <c r="DC253"/>
  <c r="DD253"/>
  <c r="CZ248"/>
  <c r="DC248"/>
  <c r="DD248"/>
  <c r="CZ238"/>
  <c r="DC238"/>
  <c r="DD238"/>
  <c r="CZ235"/>
  <c r="DC235"/>
  <c r="DD235"/>
  <c r="CZ228"/>
  <c r="DC228"/>
  <c r="DD228"/>
  <c r="CZ225"/>
  <c r="DC225"/>
  <c r="DD225"/>
  <c r="CZ221"/>
  <c r="DC221"/>
  <c r="DD221"/>
  <c r="CZ217"/>
  <c r="DC217"/>
  <c r="DD217"/>
  <c r="CZ213"/>
  <c r="DC213"/>
  <c r="DD213"/>
  <c r="CZ209"/>
  <c r="DC209"/>
  <c r="DD209"/>
  <c r="CZ205"/>
  <c r="DC205"/>
  <c r="DD205"/>
  <c r="CZ195"/>
  <c r="DC195"/>
  <c r="DD195"/>
  <c r="CZ191"/>
  <c r="DC191"/>
  <c r="DD191"/>
  <c r="CZ187"/>
  <c r="DC187"/>
  <c r="DD187"/>
  <c r="CZ184"/>
  <c r="DC184"/>
  <c r="DD184"/>
  <c r="CZ179"/>
  <c r="DC179"/>
  <c r="DD179"/>
  <c r="CZ174"/>
  <c r="DC174"/>
  <c r="DD174"/>
  <c r="DV174"/>
  <c r="CZ168"/>
  <c r="DC168"/>
  <c r="DD168"/>
  <c r="CZ164"/>
  <c r="DC164"/>
  <c r="DD164"/>
  <c r="CZ160"/>
  <c r="DC160"/>
  <c r="DD160"/>
  <c r="CZ156"/>
  <c r="DC156"/>
  <c r="DD156"/>
  <c r="CZ146"/>
  <c r="DC146"/>
  <c r="DD146"/>
  <c r="CZ142"/>
  <c r="DC142"/>
  <c r="DD142"/>
  <c r="CZ139"/>
  <c r="DC139"/>
  <c r="DD139"/>
  <c r="CZ134"/>
  <c r="DC134"/>
  <c r="DD134"/>
  <c r="CZ125"/>
  <c r="DC125"/>
  <c r="DD125"/>
  <c r="CZ122"/>
  <c r="DC122"/>
  <c r="DD122"/>
  <c r="CZ117"/>
  <c r="DC117"/>
  <c r="DD117"/>
  <c r="CZ113"/>
  <c r="DC113"/>
  <c r="DD113"/>
  <c r="CZ110"/>
  <c r="DC110"/>
  <c r="DD110"/>
  <c r="CZ107"/>
  <c r="DC107"/>
  <c r="DD107"/>
  <c r="CZ104"/>
  <c r="DC104"/>
  <c r="DD104"/>
  <c r="CZ101"/>
  <c r="DC101"/>
  <c r="DD101"/>
  <c r="CZ98"/>
  <c r="DC98"/>
  <c r="DD98"/>
  <c r="CZ93"/>
  <c r="DC93"/>
  <c r="DD93"/>
  <c r="CZ85"/>
  <c r="DC85"/>
  <c r="DD85"/>
  <c r="CZ82"/>
  <c r="DC82"/>
  <c r="DD82"/>
  <c r="CZ79"/>
  <c r="DC79"/>
  <c r="DD79"/>
  <c r="CZ75"/>
  <c r="DC75"/>
  <c r="DD75"/>
  <c r="CZ71"/>
  <c r="DC71"/>
  <c r="DD71"/>
  <c r="CZ68"/>
  <c r="DC68"/>
  <c r="DD68"/>
  <c r="CZ65"/>
  <c r="DC65"/>
  <c r="DD65"/>
  <c r="CZ62"/>
  <c r="DC62"/>
  <c r="DD62"/>
  <c r="CZ59"/>
  <c r="DC59"/>
  <c r="DD59"/>
  <c r="CY56"/>
  <c r="CZ56"/>
  <c r="DC56"/>
  <c r="DD56"/>
  <c r="DV56"/>
  <c r="CY52"/>
  <c r="CZ52"/>
  <c r="DC52"/>
  <c r="DD52"/>
  <c r="DC49"/>
  <c r="DD49"/>
  <c r="DC43"/>
  <c r="DD43"/>
  <c r="CY39"/>
  <c r="CZ39"/>
  <c r="DC39"/>
  <c r="DD39"/>
  <c r="CY36"/>
  <c r="CZ36"/>
  <c r="DC36"/>
  <c r="DD36"/>
  <c r="CY33"/>
  <c r="CZ33"/>
  <c r="DC33"/>
  <c r="DD33"/>
  <c r="CY29"/>
  <c r="CZ29"/>
  <c r="DC29"/>
  <c r="DD29"/>
  <c r="CY24"/>
  <c r="CY26" s="1"/>
  <c r="CZ24"/>
  <c r="CZ26" s="1"/>
  <c r="DC24"/>
  <c r="DC26" s="1"/>
  <c r="DD24"/>
  <c r="DD26" s="1"/>
  <c r="CY16"/>
  <c r="CZ16"/>
  <c r="DC16"/>
  <c r="DD16"/>
  <c r="CY13"/>
  <c r="CZ13"/>
  <c r="DC13"/>
  <c r="DD13"/>
  <c r="CY10"/>
  <c r="CZ10"/>
  <c r="DC10"/>
  <c r="DD10"/>
  <c r="CY7"/>
  <c r="CZ7"/>
  <c r="DC7"/>
  <c r="DD7"/>
  <c r="DH6"/>
  <c r="DH8"/>
  <c r="DH10" s="1"/>
  <c r="DH9"/>
  <c r="DH11"/>
  <c r="DH12"/>
  <c r="DH14"/>
  <c r="DH16" s="1"/>
  <c r="DH15"/>
  <c r="DH17"/>
  <c r="DH18"/>
  <c r="DH19"/>
  <c r="DH20"/>
  <c r="DH21"/>
  <c r="DH22"/>
  <c r="DH23"/>
  <c r="DH25"/>
  <c r="DH27"/>
  <c r="DH28"/>
  <c r="DH30"/>
  <c r="DH31"/>
  <c r="DH32"/>
  <c r="DH34"/>
  <c r="DH35"/>
  <c r="DH38"/>
  <c r="DH40"/>
  <c r="DH41"/>
  <c r="DH42"/>
  <c r="DH44"/>
  <c r="DH46"/>
  <c r="DH47"/>
  <c r="DH48"/>
  <c r="DH50"/>
  <c r="DH51"/>
  <c r="DH58"/>
  <c r="DH60"/>
  <c r="DH61"/>
  <c r="DH66"/>
  <c r="DH72"/>
  <c r="DH73"/>
  <c r="DH74"/>
  <c r="DH76"/>
  <c r="DH77"/>
  <c r="DH78"/>
  <c r="DH80"/>
  <c r="DH81"/>
  <c r="DH87"/>
  <c r="DH88"/>
  <c r="DH90"/>
  <c r="DH91"/>
  <c r="DH92"/>
  <c r="DH97"/>
  <c r="DH103"/>
  <c r="DH108"/>
  <c r="DH109"/>
  <c r="DH111"/>
  <c r="DH112"/>
  <c r="DH114"/>
  <c r="DH115"/>
  <c r="DH116"/>
  <c r="DH119"/>
  <c r="DH123"/>
  <c r="DH124"/>
  <c r="DH127"/>
  <c r="DH130"/>
  <c r="DH131"/>
  <c r="DH132"/>
  <c r="DH133"/>
  <c r="DH136"/>
  <c r="DH141"/>
  <c r="DH143"/>
  <c r="DH144"/>
  <c r="DH145"/>
  <c r="DH157"/>
  <c r="DH161"/>
  <c r="DH162"/>
  <c r="DH163"/>
  <c r="DH166"/>
  <c r="DH169"/>
  <c r="DH177"/>
  <c r="DH178"/>
  <c r="DH181"/>
  <c r="DH193"/>
  <c r="DH194"/>
  <c r="DH196"/>
  <c r="DH197"/>
  <c r="DH199"/>
  <c r="DH200"/>
  <c r="DH201"/>
  <c r="DH202"/>
  <c r="DH203"/>
  <c r="DH204"/>
  <c r="DH210"/>
  <c r="DH222"/>
  <c r="DH224"/>
  <c r="DH226"/>
  <c r="DH229"/>
  <c r="DH230"/>
  <c r="DH232"/>
  <c r="DH239"/>
  <c r="DH241"/>
  <c r="DH244"/>
  <c r="DH267"/>
  <c r="DH268"/>
  <c r="DH270"/>
  <c r="DH273"/>
  <c r="DH274"/>
  <c r="DH275"/>
  <c r="DH276"/>
  <c r="DH277"/>
  <c r="DH278"/>
  <c r="DH279"/>
  <c r="DH280"/>
  <c r="DH281"/>
  <c r="DH282"/>
  <c r="DH283"/>
  <c r="DH284"/>
  <c r="DH285"/>
  <c r="DH287"/>
  <c r="DH289"/>
  <c r="DH293"/>
  <c r="DH299"/>
  <c r="DH301"/>
  <c r="DH302"/>
  <c r="DH303"/>
  <c r="DH304"/>
  <c r="DH305"/>
  <c r="DH306"/>
  <c r="DH307"/>
  <c r="DH309"/>
  <c r="DH5"/>
  <c r="DG5"/>
  <c r="DG7" s="1"/>
  <c r="DG6"/>
  <c r="DG8"/>
  <c r="DG9"/>
  <c r="DG11"/>
  <c r="DG12"/>
  <c r="DG14"/>
  <c r="DG15"/>
  <c r="DG17"/>
  <c r="DG18"/>
  <c r="DG20"/>
  <c r="DG21"/>
  <c r="DG23"/>
  <c r="DG27"/>
  <c r="DG30"/>
  <c r="DG37"/>
  <c r="DG38"/>
  <c r="DG40"/>
  <c r="DG41"/>
  <c r="DG42"/>
  <c r="DG44"/>
  <c r="DG50"/>
  <c r="DG51"/>
  <c r="DG66"/>
  <c r="DG72"/>
  <c r="DG73"/>
  <c r="DG74"/>
  <c r="DG76"/>
  <c r="DG77"/>
  <c r="DG78"/>
  <c r="DG80"/>
  <c r="DG87"/>
  <c r="DG88"/>
  <c r="DG90"/>
  <c r="DG91"/>
  <c r="DG92"/>
  <c r="DG97"/>
  <c r="DG103"/>
  <c r="DG111"/>
  <c r="DG114"/>
  <c r="DG115"/>
  <c r="DG116"/>
  <c r="DG119"/>
  <c r="DG123"/>
  <c r="DG124"/>
  <c r="DG130"/>
  <c r="DG131"/>
  <c r="DG132"/>
  <c r="DG133"/>
  <c r="DG136"/>
  <c r="DG141"/>
  <c r="DG143"/>
  <c r="DG144"/>
  <c r="DG157"/>
  <c r="DG161"/>
  <c r="DG166"/>
  <c r="DG169"/>
  <c r="DG170"/>
  <c r="DG177"/>
  <c r="DG178"/>
  <c r="DG181"/>
  <c r="DG193"/>
  <c r="DG194"/>
  <c r="DG196"/>
  <c r="DG197"/>
  <c r="DG198"/>
  <c r="DG199"/>
  <c r="DG200"/>
  <c r="DG201"/>
  <c r="DG202"/>
  <c r="DG203"/>
  <c r="DG204"/>
  <c r="DG210"/>
  <c r="DG218"/>
  <c r="DG219"/>
  <c r="DG220"/>
  <c r="DG222"/>
  <c r="DG224"/>
  <c r="DG226"/>
  <c r="DG229"/>
  <c r="DG230"/>
  <c r="DG232"/>
  <c r="DG239"/>
  <c r="DG241"/>
  <c r="DG244"/>
  <c r="DG266"/>
  <c r="DG270"/>
  <c r="DG273"/>
  <c r="DG274"/>
  <c r="DG275"/>
  <c r="DG276"/>
  <c r="DG277"/>
  <c r="DG278"/>
  <c r="DG279"/>
  <c r="DG280"/>
  <c r="DG281"/>
  <c r="DG282"/>
  <c r="DG283"/>
  <c r="DG284"/>
  <c r="DG285"/>
  <c r="DG287"/>
  <c r="DG289"/>
  <c r="DG293"/>
  <c r="DG300"/>
  <c r="DG301"/>
  <c r="DG302"/>
  <c r="DG303"/>
  <c r="DG304"/>
  <c r="DG305"/>
  <c r="DG306"/>
  <c r="DG307"/>
  <c r="DG309"/>
  <c r="DG25"/>
  <c r="DG93" l="1"/>
  <c r="DH125"/>
  <c r="DH93"/>
  <c r="DH62"/>
  <c r="DH33"/>
  <c r="DH82"/>
  <c r="DH52"/>
  <c r="DH110"/>
  <c r="DG205"/>
  <c r="DH49"/>
  <c r="DH43"/>
  <c r="DH13"/>
  <c r="DH36"/>
  <c r="DG221"/>
  <c r="DG117"/>
  <c r="DH269"/>
  <c r="DH225"/>
  <c r="DH195"/>
  <c r="DH117"/>
  <c r="DH29"/>
  <c r="DG79"/>
  <c r="DG195"/>
  <c r="DG225"/>
  <c r="DG179"/>
  <c r="DH205"/>
  <c r="DH179"/>
  <c r="DH164"/>
  <c r="DH146"/>
  <c r="DH113"/>
  <c r="DH7"/>
  <c r="DG10"/>
  <c r="DG39"/>
  <c r="DG75"/>
  <c r="DH79"/>
  <c r="DG290"/>
  <c r="DG125"/>
  <c r="DH290"/>
  <c r="DH134"/>
  <c r="DG134"/>
  <c r="DC89"/>
  <c r="DH75"/>
  <c r="DG142"/>
  <c r="DH142"/>
  <c r="DG13"/>
  <c r="DG16"/>
  <c r="DH24"/>
  <c r="DH26" s="1"/>
  <c r="DG43"/>
  <c r="DG52"/>
  <c r="DD89"/>
  <c r="DC185"/>
  <c r="DD185"/>
  <c r="CZ185"/>
  <c r="DC223"/>
  <c r="DC240"/>
  <c r="DC135"/>
  <c r="DD240"/>
  <c r="CZ240"/>
  <c r="DC262"/>
  <c r="DD135"/>
  <c r="CZ135"/>
  <c r="DD223"/>
  <c r="CZ223"/>
  <c r="DD262"/>
  <c r="DD310" l="1"/>
  <c r="DC310"/>
  <c r="CP253" l="1"/>
  <c r="CY253"/>
  <c r="CP248"/>
  <c r="CY248"/>
  <c r="CY235"/>
  <c r="CM56"/>
  <c r="CN56"/>
  <c r="CO56"/>
  <c r="CP56"/>
  <c r="CM117"/>
  <c r="CN117"/>
  <c r="CO117"/>
  <c r="CP117"/>
  <c r="CU117"/>
  <c r="CV117"/>
  <c r="CY117"/>
  <c r="CL113"/>
  <c r="CM113"/>
  <c r="CN113"/>
  <c r="CO113"/>
  <c r="CP113"/>
  <c r="CU113"/>
  <c r="CV113"/>
  <c r="CY113"/>
  <c r="CM110"/>
  <c r="CN110"/>
  <c r="CO110"/>
  <c r="CP110"/>
  <c r="CV110"/>
  <c r="CY110"/>
  <c r="CY104"/>
  <c r="CM104"/>
  <c r="CN104"/>
  <c r="CO104"/>
  <c r="CP104"/>
  <c r="CM101"/>
  <c r="CN101"/>
  <c r="CO101"/>
  <c r="CP101"/>
  <c r="CY101"/>
  <c r="CM98"/>
  <c r="CN98"/>
  <c r="CO98"/>
  <c r="CP98"/>
  <c r="CW98"/>
  <c r="CX98"/>
  <c r="CY98"/>
  <c r="CM93"/>
  <c r="CN93"/>
  <c r="CO93"/>
  <c r="CP93"/>
  <c r="CU93"/>
  <c r="CV93"/>
  <c r="CY93"/>
  <c r="CY308"/>
  <c r="CZ308"/>
  <c r="CS290"/>
  <c r="CU290"/>
  <c r="CV290"/>
  <c r="CY290"/>
  <c r="CY286"/>
  <c r="CY288" s="1"/>
  <c r="CZ286"/>
  <c r="CZ288" s="1"/>
  <c r="CV269"/>
  <c r="CY269"/>
  <c r="CY271" s="1"/>
  <c r="CZ269"/>
  <c r="CZ271" s="1"/>
  <c r="CY265"/>
  <c r="CZ265"/>
  <c r="CZ262"/>
  <c r="CY260"/>
  <c r="CY256"/>
  <c r="CY238"/>
  <c r="CM235"/>
  <c r="CN235"/>
  <c r="CO235"/>
  <c r="CP235"/>
  <c r="CN228"/>
  <c r="CO228"/>
  <c r="CP228"/>
  <c r="CY228"/>
  <c r="CN225"/>
  <c r="CO225"/>
  <c r="CP225"/>
  <c r="CU225"/>
  <c r="CV225"/>
  <c r="CY225"/>
  <c r="CP221"/>
  <c r="CU221"/>
  <c r="CY221"/>
  <c r="CM217"/>
  <c r="CN217"/>
  <c r="CO217"/>
  <c r="CP217"/>
  <c r="CY217"/>
  <c r="CM213"/>
  <c r="CN213"/>
  <c r="CO213"/>
  <c r="CP213"/>
  <c r="CY213"/>
  <c r="CM209"/>
  <c r="CN209"/>
  <c r="CO209"/>
  <c r="CY209"/>
  <c r="CM205"/>
  <c r="CN205"/>
  <c r="CO205"/>
  <c r="CP205"/>
  <c r="CU205"/>
  <c r="CV205"/>
  <c r="CY205"/>
  <c r="CL195"/>
  <c r="CM195"/>
  <c r="CN195"/>
  <c r="CO195"/>
  <c r="CP195"/>
  <c r="CU195"/>
  <c r="CV195"/>
  <c r="CY195"/>
  <c r="CM191"/>
  <c r="CN191"/>
  <c r="CO191"/>
  <c r="CP191"/>
  <c r="CY191"/>
  <c r="CN187"/>
  <c r="CO187"/>
  <c r="CP187"/>
  <c r="CX187"/>
  <c r="CY187"/>
  <c r="CY184"/>
  <c r="CU179"/>
  <c r="CV179"/>
  <c r="CY179"/>
  <c r="CY174"/>
  <c r="CY168"/>
  <c r="CV164"/>
  <c r="CY164"/>
  <c r="CY160"/>
  <c r="CY156"/>
  <c r="CV146"/>
  <c r="CY146"/>
  <c r="CU142"/>
  <c r="CV142"/>
  <c r="CY142"/>
  <c r="CY139"/>
  <c r="CU134"/>
  <c r="CV134"/>
  <c r="CY134"/>
  <c r="CU125"/>
  <c r="CV125"/>
  <c r="CY125"/>
  <c r="CY107"/>
  <c r="CM85"/>
  <c r="CN85"/>
  <c r="CO85"/>
  <c r="CP85"/>
  <c r="CY85"/>
  <c r="CM79"/>
  <c r="CN79"/>
  <c r="CO79"/>
  <c r="CP79"/>
  <c r="CU79"/>
  <c r="CV79"/>
  <c r="CY79"/>
  <c r="CM75"/>
  <c r="CN75"/>
  <c r="CO75"/>
  <c r="CP75"/>
  <c r="CU75"/>
  <c r="CV75"/>
  <c r="CY75"/>
  <c r="CM71"/>
  <c r="CN71"/>
  <c r="CO71"/>
  <c r="CP71"/>
  <c r="CY71"/>
  <c r="CL68"/>
  <c r="CM68"/>
  <c r="CN68"/>
  <c r="CO68"/>
  <c r="CP68"/>
  <c r="CY68"/>
  <c r="CM65"/>
  <c r="CN65"/>
  <c r="CO65"/>
  <c r="CP65"/>
  <c r="CY65"/>
  <c r="CM62"/>
  <c r="CN62"/>
  <c r="CO62"/>
  <c r="CV62"/>
  <c r="CY62"/>
  <c r="CL59"/>
  <c r="CM59"/>
  <c r="CN59"/>
  <c r="CO59"/>
  <c r="CP59"/>
  <c r="CV59"/>
  <c r="CY59"/>
  <c r="CL56"/>
  <c r="CM52"/>
  <c r="CN52"/>
  <c r="CO52"/>
  <c r="CP52"/>
  <c r="CU52"/>
  <c r="CV52"/>
  <c r="CM49"/>
  <c r="CN49"/>
  <c r="CO49"/>
  <c r="CP49"/>
  <c r="CV49"/>
  <c r="CY49"/>
  <c r="CZ49"/>
  <c r="CM43"/>
  <c r="CN43"/>
  <c r="CO43"/>
  <c r="CP43"/>
  <c r="CU43"/>
  <c r="CV43"/>
  <c r="CY43"/>
  <c r="CZ43"/>
  <c r="CM39"/>
  <c r="CN39"/>
  <c r="CO39"/>
  <c r="CU39"/>
  <c r="CM36"/>
  <c r="CN36"/>
  <c r="CO36"/>
  <c r="CP36"/>
  <c r="CV36"/>
  <c r="CM33"/>
  <c r="CN33"/>
  <c r="CO33"/>
  <c r="CP33"/>
  <c r="CU33"/>
  <c r="CV33"/>
  <c r="CL29"/>
  <c r="CM29"/>
  <c r="CN29"/>
  <c r="CO29"/>
  <c r="CP29"/>
  <c r="CS29"/>
  <c r="CT29"/>
  <c r="CU29"/>
  <c r="CV29"/>
  <c r="CM24"/>
  <c r="CM26" s="1"/>
  <c r="CN24"/>
  <c r="CN26" s="1"/>
  <c r="CO24"/>
  <c r="CO26" s="1"/>
  <c r="CP24"/>
  <c r="CP26" s="1"/>
  <c r="CV24"/>
  <c r="CM16"/>
  <c r="CN16"/>
  <c r="CO16"/>
  <c r="CP16"/>
  <c r="CU16"/>
  <c r="CV16"/>
  <c r="CM13"/>
  <c r="CN13"/>
  <c r="CO13"/>
  <c r="CP13"/>
  <c r="CU13"/>
  <c r="CV13"/>
  <c r="CM10"/>
  <c r="CN10"/>
  <c r="CO10"/>
  <c r="CP10"/>
  <c r="CU10"/>
  <c r="CV10"/>
  <c r="DB69"/>
  <c r="DA96"/>
  <c r="DB97"/>
  <c r="DB111"/>
  <c r="DB162"/>
  <c r="DB181"/>
  <c r="DB218"/>
  <c r="DB249"/>
  <c r="CV26" l="1"/>
  <c r="DF218"/>
  <c r="DF111"/>
  <c r="DJ111" s="1"/>
  <c r="DF162"/>
  <c r="DJ162" s="1"/>
  <c r="DF69"/>
  <c r="DF181"/>
  <c r="DE96"/>
  <c r="DF97"/>
  <c r="DJ97" s="1"/>
  <c r="DF249"/>
  <c r="DH57"/>
  <c r="CZ89"/>
  <c r="CZ310" s="1"/>
  <c r="CY262"/>
  <c r="CY223"/>
  <c r="CY240"/>
  <c r="CY185"/>
  <c r="DY223"/>
  <c r="DV221"/>
  <c r="DW221"/>
  <c r="DV217"/>
  <c r="DW217"/>
  <c r="DV209"/>
  <c r="DW209"/>
  <c r="DV195"/>
  <c r="DW195"/>
  <c r="DX195"/>
  <c r="DX223" s="1"/>
  <c r="DV187"/>
  <c r="DL97" l="1"/>
  <c r="DL111"/>
  <c r="DN97"/>
  <c r="DN162"/>
  <c r="DN111"/>
  <c r="DL162"/>
  <c r="DH59"/>
  <c r="DJ181"/>
  <c r="DV223"/>
  <c r="DW223"/>
  <c r="DV122"/>
  <c r="DW122"/>
  <c r="DX122"/>
  <c r="CY122"/>
  <c r="CY135" s="1"/>
  <c r="DV117"/>
  <c r="DW117"/>
  <c r="DX117"/>
  <c r="DY117"/>
  <c r="DV113"/>
  <c r="DW113"/>
  <c r="DX113"/>
  <c r="DY113"/>
  <c r="DV107"/>
  <c r="DW107"/>
  <c r="DX107"/>
  <c r="DY107"/>
  <c r="DZ107"/>
  <c r="DV104"/>
  <c r="DV101"/>
  <c r="DW101"/>
  <c r="DV98"/>
  <c r="DL181" l="1"/>
  <c r="DN181"/>
  <c r="DV85"/>
  <c r="DW85"/>
  <c r="DX85"/>
  <c r="DV79"/>
  <c r="DV89" s="1"/>
  <c r="DV310" s="1"/>
  <c r="J235" l="1"/>
  <c r="K235"/>
  <c r="L235"/>
  <c r="N235"/>
  <c r="O235"/>
  <c r="P235"/>
  <c r="S235"/>
  <c r="T235"/>
  <c r="U235"/>
  <c r="Z235"/>
  <c r="AA235"/>
  <c r="AK235"/>
  <c r="AL235"/>
  <c r="AO235"/>
  <c r="AP235"/>
  <c r="AS235"/>
  <c r="AT235"/>
  <c r="AW235"/>
  <c r="AX235"/>
  <c r="BB235"/>
  <c r="BC235"/>
  <c r="BH235"/>
  <c r="BI235"/>
  <c r="BJ235"/>
  <c r="BK235"/>
  <c r="BO235"/>
  <c r="BP235"/>
  <c r="BW235"/>
  <c r="BX235"/>
  <c r="BY235"/>
  <c r="BZ235"/>
  <c r="CA235"/>
  <c r="CB235"/>
  <c r="CC235"/>
  <c r="CD235"/>
  <c r="CE235"/>
  <c r="CF235"/>
  <c r="CI235"/>
  <c r="CJ235"/>
  <c r="CK235"/>
  <c r="AB235" l="1"/>
  <c r="DG127" l="1"/>
  <c r="DG112"/>
  <c r="DG32" l="1"/>
  <c r="DG22"/>
  <c r="DG31"/>
  <c r="DG35"/>
  <c r="DG81"/>
  <c r="DG113"/>
  <c r="DG28"/>
  <c r="DG82" l="1"/>
  <c r="DG29"/>
  <c r="DG33"/>
  <c r="CV170"/>
  <c r="CX170" l="1"/>
  <c r="DH170"/>
  <c r="CV37"/>
  <c r="CX37" l="1"/>
  <c r="DH37"/>
  <c r="CV39"/>
  <c r="CY82"/>
  <c r="CY89" s="1"/>
  <c r="CY310" s="1"/>
  <c r="CU19"/>
  <c r="CV300"/>
  <c r="CU145"/>
  <c r="DB37" l="1"/>
  <c r="DH39"/>
  <c r="CW19"/>
  <c r="DA19" s="1"/>
  <c r="DG19"/>
  <c r="CU24"/>
  <c r="CX300"/>
  <c r="DB300" s="1"/>
  <c r="DH300"/>
  <c r="CW145"/>
  <c r="DA145" s="1"/>
  <c r="DG145"/>
  <c r="CU146"/>
  <c r="CX60"/>
  <c r="CX61"/>
  <c r="DB61" s="1"/>
  <c r="CX30"/>
  <c r="CX27"/>
  <c r="CX302"/>
  <c r="DB302" s="1"/>
  <c r="CX301"/>
  <c r="DB301" s="1"/>
  <c r="CX230"/>
  <c r="CX210"/>
  <c r="CX197"/>
  <c r="CX193"/>
  <c r="CX127"/>
  <c r="CX115"/>
  <c r="CX91"/>
  <c r="CX80"/>
  <c r="CX76"/>
  <c r="CX72"/>
  <c r="CX46"/>
  <c r="CX34"/>
  <c r="CX8"/>
  <c r="CU26" l="1"/>
  <c r="DB27"/>
  <c r="DE19"/>
  <c r="DI19" s="1"/>
  <c r="DF37"/>
  <c r="DJ37" s="1"/>
  <c r="DB193"/>
  <c r="DB8"/>
  <c r="DF302"/>
  <c r="DJ302" s="1"/>
  <c r="DG24"/>
  <c r="DG26" s="1"/>
  <c r="CX62"/>
  <c r="DF61"/>
  <c r="DJ61" s="1"/>
  <c r="DB91"/>
  <c r="DF301"/>
  <c r="DJ301" s="1"/>
  <c r="DE145"/>
  <c r="DI145"/>
  <c r="DG146"/>
  <c r="DF300"/>
  <c r="DJ300" s="1"/>
  <c r="CX157"/>
  <c r="DB157" s="1"/>
  <c r="CV198"/>
  <c r="CW169"/>
  <c r="DA169" s="1"/>
  <c r="CX169"/>
  <c r="DB169" s="1"/>
  <c r="CX166"/>
  <c r="CX132"/>
  <c r="CX119"/>
  <c r="DB119" s="1"/>
  <c r="CX57"/>
  <c r="CX267"/>
  <c r="CX268"/>
  <c r="DB268" s="1"/>
  <c r="CX270"/>
  <c r="DB270" s="1"/>
  <c r="CX273"/>
  <c r="DB273" s="1"/>
  <c r="CX274"/>
  <c r="DB274" s="1"/>
  <c r="CX275"/>
  <c r="DB275" s="1"/>
  <c r="CX276"/>
  <c r="DB276" s="1"/>
  <c r="CX277"/>
  <c r="DB277" s="1"/>
  <c r="CX278"/>
  <c r="DB278" s="1"/>
  <c r="CX279"/>
  <c r="DB279" s="1"/>
  <c r="CX280"/>
  <c r="DB280" s="1"/>
  <c r="CX281"/>
  <c r="DB281" s="1"/>
  <c r="CX282"/>
  <c r="DB282" s="1"/>
  <c r="CX283"/>
  <c r="DB283" s="1"/>
  <c r="CX284"/>
  <c r="DB284" s="1"/>
  <c r="CX285"/>
  <c r="DB285" s="1"/>
  <c r="CX287"/>
  <c r="DB287" s="1"/>
  <c r="CX289"/>
  <c r="CX293"/>
  <c r="DB293" s="1"/>
  <c r="CX299"/>
  <c r="DB299" s="1"/>
  <c r="CX303"/>
  <c r="DB303" s="1"/>
  <c r="CX304"/>
  <c r="DB304" s="1"/>
  <c r="CX305"/>
  <c r="DB305" s="1"/>
  <c r="CX306"/>
  <c r="DB306" s="1"/>
  <c r="CX307"/>
  <c r="CX309"/>
  <c r="DB309" s="1"/>
  <c r="CX222"/>
  <c r="CX224"/>
  <c r="CX226"/>
  <c r="CX229"/>
  <c r="CX232"/>
  <c r="CX239"/>
  <c r="CX241"/>
  <c r="CX244"/>
  <c r="DB244" s="1"/>
  <c r="CX194"/>
  <c r="DB194" s="1"/>
  <c r="CX196"/>
  <c r="CX199"/>
  <c r="CX200"/>
  <c r="DB200" s="1"/>
  <c r="CX201"/>
  <c r="DB201" s="1"/>
  <c r="CX202"/>
  <c r="DB202" s="1"/>
  <c r="CX203"/>
  <c r="DB203" s="1"/>
  <c r="CX204"/>
  <c r="DB204" s="1"/>
  <c r="CX178"/>
  <c r="CX163"/>
  <c r="CX161"/>
  <c r="CX123"/>
  <c r="CX124"/>
  <c r="DB124" s="1"/>
  <c r="CX130"/>
  <c r="DB130" s="1"/>
  <c r="CX131"/>
  <c r="DB131" s="1"/>
  <c r="CX133"/>
  <c r="DB133" s="1"/>
  <c r="CX136"/>
  <c r="DB136" s="1"/>
  <c r="CX141"/>
  <c r="DB141" s="1"/>
  <c r="CX143"/>
  <c r="CX144"/>
  <c r="DB144" s="1"/>
  <c r="CX145"/>
  <c r="DB145" s="1"/>
  <c r="CX114"/>
  <c r="DB114" s="1"/>
  <c r="CX116"/>
  <c r="DB116" s="1"/>
  <c r="CX112"/>
  <c r="CX109"/>
  <c r="CX73"/>
  <c r="DB73" s="1"/>
  <c r="CX74"/>
  <c r="DB74" s="1"/>
  <c r="CX77"/>
  <c r="DB77" s="1"/>
  <c r="CX78"/>
  <c r="DB78" s="1"/>
  <c r="CX81"/>
  <c r="DB81" s="1"/>
  <c r="CX87"/>
  <c r="DB87" s="1"/>
  <c r="CX88"/>
  <c r="DB88" s="1"/>
  <c r="CX90"/>
  <c r="CX92"/>
  <c r="DB92" s="1"/>
  <c r="CX103"/>
  <c r="DB103" s="1"/>
  <c r="CX6"/>
  <c r="DB6" s="1"/>
  <c r="CX9"/>
  <c r="DB9" s="1"/>
  <c r="CX11"/>
  <c r="CX12"/>
  <c r="DB12" s="1"/>
  <c r="CX14"/>
  <c r="CX15"/>
  <c r="DB15" s="1"/>
  <c r="CX17"/>
  <c r="CX18"/>
  <c r="DB18" s="1"/>
  <c r="CX19"/>
  <c r="DB19" s="1"/>
  <c r="CX20"/>
  <c r="DB20" s="1"/>
  <c r="CX21"/>
  <c r="DB21" s="1"/>
  <c r="CX22"/>
  <c r="DB22" s="1"/>
  <c r="CX23"/>
  <c r="DB23" s="1"/>
  <c r="CX25"/>
  <c r="DB25" s="1"/>
  <c r="CX28"/>
  <c r="DB28" s="1"/>
  <c r="CX31"/>
  <c r="DB31" s="1"/>
  <c r="CX32"/>
  <c r="DB32" s="1"/>
  <c r="CX35"/>
  <c r="DB35" s="1"/>
  <c r="CX38"/>
  <c r="CX40"/>
  <c r="CX41"/>
  <c r="DB41" s="1"/>
  <c r="CX42"/>
  <c r="DB42" s="1"/>
  <c r="CX44"/>
  <c r="CX47"/>
  <c r="DB47" s="1"/>
  <c r="CX48"/>
  <c r="DB48" s="1"/>
  <c r="CX50"/>
  <c r="CX51"/>
  <c r="DB51" s="1"/>
  <c r="CX58"/>
  <c r="DB58" s="1"/>
  <c r="CX66"/>
  <c r="CX5"/>
  <c r="DN302" l="1"/>
  <c r="DN301"/>
  <c r="DL61"/>
  <c r="DK19"/>
  <c r="DM19"/>
  <c r="DM145"/>
  <c r="DN300"/>
  <c r="DL301"/>
  <c r="DL302"/>
  <c r="DL37"/>
  <c r="DN114"/>
  <c r="DK145"/>
  <c r="DN61"/>
  <c r="DL300"/>
  <c r="DN37"/>
  <c r="CX52"/>
  <c r="DF58"/>
  <c r="DJ58" s="1"/>
  <c r="DF31"/>
  <c r="DJ31" s="1"/>
  <c r="DF103"/>
  <c r="DJ103" s="1"/>
  <c r="DB143"/>
  <c r="CX146"/>
  <c r="DF42"/>
  <c r="DJ42" s="1"/>
  <c r="DF35"/>
  <c r="DJ35" s="1"/>
  <c r="DF25"/>
  <c r="DJ25" s="1"/>
  <c r="DF20"/>
  <c r="DJ20" s="1"/>
  <c r="DF15"/>
  <c r="DJ15" s="1"/>
  <c r="DF9"/>
  <c r="DJ9" s="1"/>
  <c r="DF78"/>
  <c r="DJ78" s="1"/>
  <c r="DB109"/>
  <c r="CX110"/>
  <c r="DF145"/>
  <c r="DJ145" s="1"/>
  <c r="CX142"/>
  <c r="DF130"/>
  <c r="DJ130" s="1"/>
  <c r="DB163"/>
  <c r="CX164"/>
  <c r="DF202"/>
  <c r="DJ202" s="1"/>
  <c r="DB239"/>
  <c r="DB224"/>
  <c r="CX225"/>
  <c r="DF306"/>
  <c r="DJ306" s="1"/>
  <c r="DL306" s="1"/>
  <c r="DF299"/>
  <c r="DF285"/>
  <c r="DJ285" s="1"/>
  <c r="DL285" s="1"/>
  <c r="DF281"/>
  <c r="DJ281" s="1"/>
  <c r="DN281" s="1"/>
  <c r="DF277"/>
  <c r="DJ277" s="1"/>
  <c r="DN277" s="1"/>
  <c r="DF273"/>
  <c r="DJ273" s="1"/>
  <c r="DN273" s="1"/>
  <c r="DB57"/>
  <c r="CX59"/>
  <c r="DB166"/>
  <c r="DF157"/>
  <c r="DJ157" s="1"/>
  <c r="DB29"/>
  <c r="DF27"/>
  <c r="CX117"/>
  <c r="CX195"/>
  <c r="DF47"/>
  <c r="DJ47" s="1"/>
  <c r="DF18"/>
  <c r="DJ18" s="1"/>
  <c r="DF116"/>
  <c r="DJ116" s="1"/>
  <c r="DF51"/>
  <c r="DJ51" s="1"/>
  <c r="DB38"/>
  <c r="CX39"/>
  <c r="DF28"/>
  <c r="DJ28" s="1"/>
  <c r="DF21"/>
  <c r="DJ21" s="1"/>
  <c r="DF92"/>
  <c r="DJ92" s="1"/>
  <c r="DF81"/>
  <c r="DJ81" s="1"/>
  <c r="DF73"/>
  <c r="DJ73" s="1"/>
  <c r="DF114"/>
  <c r="DJ114" s="1"/>
  <c r="DF141"/>
  <c r="DJ141" s="1"/>
  <c r="DF131"/>
  <c r="DJ131" s="1"/>
  <c r="DF203"/>
  <c r="DJ203" s="1"/>
  <c r="DB199"/>
  <c r="CX205"/>
  <c r="DB226"/>
  <c r="DB307"/>
  <c r="DF303"/>
  <c r="DJ303" s="1"/>
  <c r="DL303" s="1"/>
  <c r="DF287"/>
  <c r="DJ287" s="1"/>
  <c r="DL287" s="1"/>
  <c r="DF282"/>
  <c r="DJ282" s="1"/>
  <c r="DN282" s="1"/>
  <c r="DF278"/>
  <c r="DJ278" s="1"/>
  <c r="DL278" s="1"/>
  <c r="DF274"/>
  <c r="DJ274" s="1"/>
  <c r="DN274" s="1"/>
  <c r="DB267"/>
  <c r="CX269"/>
  <c r="DB132"/>
  <c r="CX134"/>
  <c r="CX198"/>
  <c r="DH198"/>
  <c r="DB10"/>
  <c r="DF8"/>
  <c r="CX24"/>
  <c r="CX26" s="1"/>
  <c r="CX13"/>
  <c r="CX49"/>
  <c r="CX36"/>
  <c r="CX29"/>
  <c r="DB40"/>
  <c r="CX43"/>
  <c r="DF12"/>
  <c r="DJ12" s="1"/>
  <c r="DF74"/>
  <c r="DJ74" s="1"/>
  <c r="DF133"/>
  <c r="DJ133" s="1"/>
  <c r="DF204"/>
  <c r="DJ204" s="1"/>
  <c r="DF200"/>
  <c r="DJ200" s="1"/>
  <c r="DF244"/>
  <c r="DJ244" s="1"/>
  <c r="DF309"/>
  <c r="DJ309" s="1"/>
  <c r="DN309" s="1"/>
  <c r="DF304"/>
  <c r="DJ304" s="1"/>
  <c r="DL304" s="1"/>
  <c r="DB289"/>
  <c r="CX290"/>
  <c r="DF283"/>
  <c r="DJ283" s="1"/>
  <c r="DN283" s="1"/>
  <c r="DF279"/>
  <c r="DJ279" s="1"/>
  <c r="DN279" s="1"/>
  <c r="DF275"/>
  <c r="DJ275" s="1"/>
  <c r="DL275" s="1"/>
  <c r="DF268"/>
  <c r="DJ268" s="1"/>
  <c r="DE169"/>
  <c r="DI169" s="1"/>
  <c r="DB93"/>
  <c r="DF91"/>
  <c r="CX33"/>
  <c r="CX79"/>
  <c r="CX10"/>
  <c r="DF22"/>
  <c r="DJ22" s="1"/>
  <c r="DF87"/>
  <c r="DJ87" s="1"/>
  <c r="DB123"/>
  <c r="CX125"/>
  <c r="DB66"/>
  <c r="DF48"/>
  <c r="DJ48" s="1"/>
  <c r="DF41"/>
  <c r="DJ41" s="1"/>
  <c r="DF32"/>
  <c r="DJ32" s="1"/>
  <c r="DF23"/>
  <c r="DJ23" s="1"/>
  <c r="DF19"/>
  <c r="DJ19" s="1"/>
  <c r="DF6"/>
  <c r="DJ6" s="1"/>
  <c r="DF88"/>
  <c r="DF77"/>
  <c r="DJ77" s="1"/>
  <c r="DB112"/>
  <c r="CX113"/>
  <c r="DF144"/>
  <c r="DJ144" s="1"/>
  <c r="DF136"/>
  <c r="DJ136" s="1"/>
  <c r="DF124"/>
  <c r="DJ124" s="1"/>
  <c r="DB178"/>
  <c r="CX179"/>
  <c r="DF201"/>
  <c r="DJ201" s="1"/>
  <c r="DF194"/>
  <c r="DJ194" s="1"/>
  <c r="DB222"/>
  <c r="DF305"/>
  <c r="DJ305" s="1"/>
  <c r="DL305" s="1"/>
  <c r="DF293"/>
  <c r="DJ293" s="1"/>
  <c r="DF284"/>
  <c r="DJ284" s="1"/>
  <c r="DN284" s="1"/>
  <c r="DF280"/>
  <c r="DJ280" s="1"/>
  <c r="DN280" s="1"/>
  <c r="DF276"/>
  <c r="DJ276" s="1"/>
  <c r="DN276" s="1"/>
  <c r="DF270"/>
  <c r="DJ270" s="1"/>
  <c r="DF119"/>
  <c r="DJ119" s="1"/>
  <c r="DF169"/>
  <c r="DJ169" s="1"/>
  <c r="DB195"/>
  <c r="DF193"/>
  <c r="CX16"/>
  <c r="CX93"/>
  <c r="CX75"/>
  <c r="CX82"/>
  <c r="CX7"/>
  <c r="DN58" l="1"/>
  <c r="DL200"/>
  <c r="DL92"/>
  <c r="DN275"/>
  <c r="DL31"/>
  <c r="DN42"/>
  <c r="DN285"/>
  <c r="DN15"/>
  <c r="DK169"/>
  <c r="DL283"/>
  <c r="DL309"/>
  <c r="DN200"/>
  <c r="DN133"/>
  <c r="DN77"/>
  <c r="DN6"/>
  <c r="DL23"/>
  <c r="DL41"/>
  <c r="DL58"/>
  <c r="DL114"/>
  <c r="DN278"/>
  <c r="DN287"/>
  <c r="DL203"/>
  <c r="DN116"/>
  <c r="DL87"/>
  <c r="DN12"/>
  <c r="DL22"/>
  <c r="DL47"/>
  <c r="DL141"/>
  <c r="DL21"/>
  <c r="DL273"/>
  <c r="DN119"/>
  <c r="DL276"/>
  <c r="DL284"/>
  <c r="DN305"/>
  <c r="DN201"/>
  <c r="DL136"/>
  <c r="DN78"/>
  <c r="DL15"/>
  <c r="DL25"/>
  <c r="DL42"/>
  <c r="DN202"/>
  <c r="DL28"/>
  <c r="DM169"/>
  <c r="DL133"/>
  <c r="DL77"/>
  <c r="DL6"/>
  <c r="DN23"/>
  <c r="DN41"/>
  <c r="DL274"/>
  <c r="DL282"/>
  <c r="DN303"/>
  <c r="DN131"/>
  <c r="DL74"/>
  <c r="DN103"/>
  <c r="DL18"/>
  <c r="DN51"/>
  <c r="DL119"/>
  <c r="DL201"/>
  <c r="DN136"/>
  <c r="DL78"/>
  <c r="DN25"/>
  <c r="DL202"/>
  <c r="DN28"/>
  <c r="DN268"/>
  <c r="DL279"/>
  <c r="DN304"/>
  <c r="DL244"/>
  <c r="DN204"/>
  <c r="DN144"/>
  <c r="DL19"/>
  <c r="DN32"/>
  <c r="DL48"/>
  <c r="DL281"/>
  <c r="DL81"/>
  <c r="DL131"/>
  <c r="DN74"/>
  <c r="DL103"/>
  <c r="DN18"/>
  <c r="DN31"/>
  <c r="DN92"/>
  <c r="DL51"/>
  <c r="DN157"/>
  <c r="DL277"/>
  <c r="DN130"/>
  <c r="DN169"/>
  <c r="DN270"/>
  <c r="DL280"/>
  <c r="DN293"/>
  <c r="DL194"/>
  <c r="DN124"/>
  <c r="DN145"/>
  <c r="DL9"/>
  <c r="DN20"/>
  <c r="DL35"/>
  <c r="DN306"/>
  <c r="DL73"/>
  <c r="DL268"/>
  <c r="DN244"/>
  <c r="DL204"/>
  <c r="DL144"/>
  <c r="DN19"/>
  <c r="DL32"/>
  <c r="DN48"/>
  <c r="DN81"/>
  <c r="DN203"/>
  <c r="DL116"/>
  <c r="DN87"/>
  <c r="DL12"/>
  <c r="DN22"/>
  <c r="DN47"/>
  <c r="DN141"/>
  <c r="DN21"/>
  <c r="DL157"/>
  <c r="DL130"/>
  <c r="DL169"/>
  <c r="DL270"/>
  <c r="DL293"/>
  <c r="DN194"/>
  <c r="DL124"/>
  <c r="DL145"/>
  <c r="DN9"/>
  <c r="DL20"/>
  <c r="DN35"/>
  <c r="DN73"/>
  <c r="DJ299"/>
  <c r="DB125"/>
  <c r="DF123"/>
  <c r="DF93"/>
  <c r="DJ91"/>
  <c r="DB290"/>
  <c r="DF289"/>
  <c r="DF10"/>
  <c r="DJ8"/>
  <c r="DB269"/>
  <c r="DF267"/>
  <c r="DF226"/>
  <c r="DF38"/>
  <c r="DB39"/>
  <c r="DB59"/>
  <c r="DF57"/>
  <c r="DF239"/>
  <c r="DJ239" s="1"/>
  <c r="DB142"/>
  <c r="DB146"/>
  <c r="DF143"/>
  <c r="DF112"/>
  <c r="DB113"/>
  <c r="DB43"/>
  <c r="DF40"/>
  <c r="DF222"/>
  <c r="DJ222" s="1"/>
  <c r="DJ88"/>
  <c r="DF66"/>
  <c r="DB134"/>
  <c r="DF132"/>
  <c r="DJ132" s="1"/>
  <c r="DF307"/>
  <c r="DB205"/>
  <c r="DF199"/>
  <c r="DF29"/>
  <c r="DJ27"/>
  <c r="DF166"/>
  <c r="DJ166" s="1"/>
  <c r="DB225"/>
  <c r="DF224"/>
  <c r="DF163"/>
  <c r="DB164"/>
  <c r="DF109"/>
  <c r="DJ109" s="1"/>
  <c r="DF195"/>
  <c r="DJ193"/>
  <c r="DF178"/>
  <c r="DJ178" s="1"/>
  <c r="CW15"/>
  <c r="CW111"/>
  <c r="CW112"/>
  <c r="CW6"/>
  <c r="DA6" s="1"/>
  <c r="CW8"/>
  <c r="CW9"/>
  <c r="DA9" s="1"/>
  <c r="CW11"/>
  <c r="CW12"/>
  <c r="DA12" s="1"/>
  <c r="CW14"/>
  <c r="CW17"/>
  <c r="CW18"/>
  <c r="DA18" s="1"/>
  <c r="CW20"/>
  <c r="DA20" s="1"/>
  <c r="CW21"/>
  <c r="DA21" s="1"/>
  <c r="CW22"/>
  <c r="DA22" s="1"/>
  <c r="CW23"/>
  <c r="DA23" s="1"/>
  <c r="CW25"/>
  <c r="DA25" s="1"/>
  <c r="CW27"/>
  <c r="CW28"/>
  <c r="DA28" s="1"/>
  <c r="CW30"/>
  <c r="CW31"/>
  <c r="DA31" s="1"/>
  <c r="CW32"/>
  <c r="CW35"/>
  <c r="DA35" s="1"/>
  <c r="CW37"/>
  <c r="CW38"/>
  <c r="DA38" s="1"/>
  <c r="CW40"/>
  <c r="CW41"/>
  <c r="CW42"/>
  <c r="DA42" s="1"/>
  <c r="CW44"/>
  <c r="DA44" s="1"/>
  <c r="CW50"/>
  <c r="CW51"/>
  <c r="CW66"/>
  <c r="CW72"/>
  <c r="CW73"/>
  <c r="DA73" s="1"/>
  <c r="CW74"/>
  <c r="DA74" s="1"/>
  <c r="CW76"/>
  <c r="CW77"/>
  <c r="DA77" s="1"/>
  <c r="CW78"/>
  <c r="DA78" s="1"/>
  <c r="CW80"/>
  <c r="DA80" s="1"/>
  <c r="CW81"/>
  <c r="DA81" s="1"/>
  <c r="CW87"/>
  <c r="DA87" s="1"/>
  <c r="CW88"/>
  <c r="DA88" s="1"/>
  <c r="CW90"/>
  <c r="CW91"/>
  <c r="CW92"/>
  <c r="DA92" s="1"/>
  <c r="CW103"/>
  <c r="DA103" s="1"/>
  <c r="CW114"/>
  <c r="DA114" s="1"/>
  <c r="CW115"/>
  <c r="CW116"/>
  <c r="CW119"/>
  <c r="DA119" s="1"/>
  <c r="CW123"/>
  <c r="CW124"/>
  <c r="DA124" s="1"/>
  <c r="CW127"/>
  <c r="CW130"/>
  <c r="DA130" s="1"/>
  <c r="CW131"/>
  <c r="DA131" s="1"/>
  <c r="CW132"/>
  <c r="CW133"/>
  <c r="CW136"/>
  <c r="DA136" s="1"/>
  <c r="CW140"/>
  <c r="CW141"/>
  <c r="DA141" s="1"/>
  <c r="CW143"/>
  <c r="CW144"/>
  <c r="DA144" s="1"/>
  <c r="CW157"/>
  <c r="DA157" s="1"/>
  <c r="CW161"/>
  <c r="DA161" s="1"/>
  <c r="CW166"/>
  <c r="CW170"/>
  <c r="DA170" s="1"/>
  <c r="CW175"/>
  <c r="CW177"/>
  <c r="CW178"/>
  <c r="DA178" s="1"/>
  <c r="CW181"/>
  <c r="CW193"/>
  <c r="CW194"/>
  <c r="DA194" s="1"/>
  <c r="CW196"/>
  <c r="CW197"/>
  <c r="DA197" s="1"/>
  <c r="CW198"/>
  <c r="DA198" s="1"/>
  <c r="CW199"/>
  <c r="CW200"/>
  <c r="DA200" s="1"/>
  <c r="CW201"/>
  <c r="DA201" s="1"/>
  <c r="CW202"/>
  <c r="DA202" s="1"/>
  <c r="CW203"/>
  <c r="DA203" s="1"/>
  <c r="CW204"/>
  <c r="DA204" s="1"/>
  <c r="CW210"/>
  <c r="CW218"/>
  <c r="CW219"/>
  <c r="CW220"/>
  <c r="DA220" s="1"/>
  <c r="CW222"/>
  <c r="CW224"/>
  <c r="CW226"/>
  <c r="CW229"/>
  <c r="DA229" s="1"/>
  <c r="CW230"/>
  <c r="DA230" s="1"/>
  <c r="CW232"/>
  <c r="DA232" s="1"/>
  <c r="CW239"/>
  <c r="CW241"/>
  <c r="CW244"/>
  <c r="CW266"/>
  <c r="CW270"/>
  <c r="DA270" s="1"/>
  <c r="CW273"/>
  <c r="DA273" s="1"/>
  <c r="CW274"/>
  <c r="DA274" s="1"/>
  <c r="CW275"/>
  <c r="DA275" s="1"/>
  <c r="CW276"/>
  <c r="DA276" s="1"/>
  <c r="CW277"/>
  <c r="DA277" s="1"/>
  <c r="CW278"/>
  <c r="DA278" s="1"/>
  <c r="CW279"/>
  <c r="DA279" s="1"/>
  <c r="CW280"/>
  <c r="DA280" s="1"/>
  <c r="CW281"/>
  <c r="DA281" s="1"/>
  <c r="CW282"/>
  <c r="DA282" s="1"/>
  <c r="CW283"/>
  <c r="DA283" s="1"/>
  <c r="CW284"/>
  <c r="DA284" s="1"/>
  <c r="CW285"/>
  <c r="DA285" s="1"/>
  <c r="CW287"/>
  <c r="DA287" s="1"/>
  <c r="CW289"/>
  <c r="CW293"/>
  <c r="CW300"/>
  <c r="CW301"/>
  <c r="CW302"/>
  <c r="CW303"/>
  <c r="DA303" s="1"/>
  <c r="CW304"/>
  <c r="DA304" s="1"/>
  <c r="CW305"/>
  <c r="DA305" s="1"/>
  <c r="CW306"/>
  <c r="DA306" s="1"/>
  <c r="CW307"/>
  <c r="CW309"/>
  <c r="DA309" s="1"/>
  <c r="CW5"/>
  <c r="CU82"/>
  <c r="CV82"/>
  <c r="CU7"/>
  <c r="CV7"/>
  <c r="DN239" l="1"/>
  <c r="DN222"/>
  <c r="DN109"/>
  <c r="DL166"/>
  <c r="DN132"/>
  <c r="DN178"/>
  <c r="DL222"/>
  <c r="DN8"/>
  <c r="DL8"/>
  <c r="DL10" s="1"/>
  <c r="DL91"/>
  <c r="DN91"/>
  <c r="DL299"/>
  <c r="DN299"/>
  <c r="DL109"/>
  <c r="DN166"/>
  <c r="DL132"/>
  <c r="DL178"/>
  <c r="DN193"/>
  <c r="DL193"/>
  <c r="DN27"/>
  <c r="DL27"/>
  <c r="DL29" s="1"/>
  <c r="DL88"/>
  <c r="DN88"/>
  <c r="DL239"/>
  <c r="DA307"/>
  <c r="DE280"/>
  <c r="DI280" s="1"/>
  <c r="DM280" s="1"/>
  <c r="DA239"/>
  <c r="DE305"/>
  <c r="DI305" s="1"/>
  <c r="DM305" s="1"/>
  <c r="DE287"/>
  <c r="DI287" s="1"/>
  <c r="DK287" s="1"/>
  <c r="DE282"/>
  <c r="DI282" s="1"/>
  <c r="DM282" s="1"/>
  <c r="DE274"/>
  <c r="DI274" s="1"/>
  <c r="DM274" s="1"/>
  <c r="DE230"/>
  <c r="DI230" s="1"/>
  <c r="DE197"/>
  <c r="DI197" s="1"/>
  <c r="DA181"/>
  <c r="DE136"/>
  <c r="DI136" s="1"/>
  <c r="DE306"/>
  <c r="DI306" s="1"/>
  <c r="DM306" s="1"/>
  <c r="DA289"/>
  <c r="CW290"/>
  <c r="DE283"/>
  <c r="DI283" s="1"/>
  <c r="DM283" s="1"/>
  <c r="DE279"/>
  <c r="DI279" s="1"/>
  <c r="DM279" s="1"/>
  <c r="DE275"/>
  <c r="DI275" s="1"/>
  <c r="DM275" s="1"/>
  <c r="DE232"/>
  <c r="DI232" s="1"/>
  <c r="DA224"/>
  <c r="CW225"/>
  <c r="DA218"/>
  <c r="CW221"/>
  <c r="DE202"/>
  <c r="DI202" s="1"/>
  <c r="DE198"/>
  <c r="DI198" s="1"/>
  <c r="DA193"/>
  <c r="CW195"/>
  <c r="DE157"/>
  <c r="DI157" s="1"/>
  <c r="CW142"/>
  <c r="DE131"/>
  <c r="DI131" s="1"/>
  <c r="DA123"/>
  <c r="CW125"/>
  <c r="DE114"/>
  <c r="DI114" s="1"/>
  <c r="DA91"/>
  <c r="CW93"/>
  <c r="DE81"/>
  <c r="DI81" s="1"/>
  <c r="DA76"/>
  <c r="CW79"/>
  <c r="DA66"/>
  <c r="DE42"/>
  <c r="DI42" s="1"/>
  <c r="DA37"/>
  <c r="CW39"/>
  <c r="DA30"/>
  <c r="CW33"/>
  <c r="DE23"/>
  <c r="DI23" s="1"/>
  <c r="DE18"/>
  <c r="DI18" s="1"/>
  <c r="DJ195"/>
  <c r="DF134"/>
  <c r="DF43"/>
  <c r="DJ40"/>
  <c r="DF142"/>
  <c r="DF269"/>
  <c r="DJ267"/>
  <c r="DF125"/>
  <c r="DJ123"/>
  <c r="CW13"/>
  <c r="DE303"/>
  <c r="DI303" s="1"/>
  <c r="DM303" s="1"/>
  <c r="DE270"/>
  <c r="DI270" s="1"/>
  <c r="DE203"/>
  <c r="DI203" s="1"/>
  <c r="DA199"/>
  <c r="CW205"/>
  <c r="DA177"/>
  <c r="CW179"/>
  <c r="DE161"/>
  <c r="DI161" s="1"/>
  <c r="DE141"/>
  <c r="DI141" s="1"/>
  <c r="DA132"/>
  <c r="CW134"/>
  <c r="DE124"/>
  <c r="DI124" s="1"/>
  <c r="DA115"/>
  <c r="CW117"/>
  <c r="DE92"/>
  <c r="DI92" s="1"/>
  <c r="DE87"/>
  <c r="DI87" s="1"/>
  <c r="DE77"/>
  <c r="DI77" s="1"/>
  <c r="DA72"/>
  <c r="CW75"/>
  <c r="DE44"/>
  <c r="DI44" s="1"/>
  <c r="DE38"/>
  <c r="DI38" s="1"/>
  <c r="DE31"/>
  <c r="DI31" s="1"/>
  <c r="DE25"/>
  <c r="DI25" s="1"/>
  <c r="DE20"/>
  <c r="DI20" s="1"/>
  <c r="DE12"/>
  <c r="DI12" s="1"/>
  <c r="DE6"/>
  <c r="DI6" s="1"/>
  <c r="DJ307"/>
  <c r="DF146"/>
  <c r="DJ143"/>
  <c r="DJ38"/>
  <c r="DF39"/>
  <c r="DJ226"/>
  <c r="DJ10"/>
  <c r="DN10" s="1"/>
  <c r="DF290"/>
  <c r="DJ289"/>
  <c r="DE276"/>
  <c r="DI276" s="1"/>
  <c r="DM276" s="1"/>
  <c r="DE194"/>
  <c r="DI194" s="1"/>
  <c r="DE309"/>
  <c r="DE304"/>
  <c r="DI304" s="1"/>
  <c r="DM304" s="1"/>
  <c r="DE285"/>
  <c r="DI285" s="1"/>
  <c r="DK285" s="1"/>
  <c r="DE281"/>
  <c r="DI281" s="1"/>
  <c r="DM281" s="1"/>
  <c r="DE277"/>
  <c r="DI277" s="1"/>
  <c r="DK277" s="1"/>
  <c r="DE273"/>
  <c r="DI273" s="1"/>
  <c r="DM273" s="1"/>
  <c r="DA241"/>
  <c r="DE229"/>
  <c r="DI229" s="1"/>
  <c r="DE220"/>
  <c r="DI220" s="1"/>
  <c r="DE204"/>
  <c r="DI204" s="1"/>
  <c r="DE200"/>
  <c r="DI200" s="1"/>
  <c r="DE178"/>
  <c r="DI178" s="1"/>
  <c r="DA166"/>
  <c r="DE88"/>
  <c r="DI88" s="1"/>
  <c r="DM88" s="1"/>
  <c r="DE78"/>
  <c r="DI78" s="1"/>
  <c r="DE73"/>
  <c r="DI73" s="1"/>
  <c r="DA50"/>
  <c r="CW52"/>
  <c r="DA40"/>
  <c r="CW43"/>
  <c r="DA27"/>
  <c r="CW29"/>
  <c r="DE21"/>
  <c r="DI21" s="1"/>
  <c r="DA14"/>
  <c r="CW16"/>
  <c r="DJ163"/>
  <c r="DF164"/>
  <c r="DF225"/>
  <c r="DJ224"/>
  <c r="DJ29"/>
  <c r="DN29" s="1"/>
  <c r="DF205"/>
  <c r="DJ199"/>
  <c r="DJ112"/>
  <c r="DF113"/>
  <c r="DF59"/>
  <c r="DJ57"/>
  <c r="DJ93"/>
  <c r="CW146"/>
  <c r="CW10"/>
  <c r="DE284"/>
  <c r="DI284" s="1"/>
  <c r="DM284" s="1"/>
  <c r="DA226"/>
  <c r="DE278"/>
  <c r="DI278" s="1"/>
  <c r="DM278" s="1"/>
  <c r="DA222"/>
  <c r="DE201"/>
  <c r="DI201" s="1"/>
  <c r="DE170"/>
  <c r="DI170" s="1"/>
  <c r="DM170" s="1"/>
  <c r="DE144"/>
  <c r="DI144" s="1"/>
  <c r="DE130"/>
  <c r="DI130" s="1"/>
  <c r="DE119"/>
  <c r="DI119" s="1"/>
  <c r="DE103"/>
  <c r="DI103" s="1"/>
  <c r="DA82"/>
  <c r="DE80"/>
  <c r="DE74"/>
  <c r="DI74" s="1"/>
  <c r="DE35"/>
  <c r="DI35" s="1"/>
  <c r="DE28"/>
  <c r="DI28" s="1"/>
  <c r="DE22"/>
  <c r="DI22" s="1"/>
  <c r="DA17"/>
  <c r="CW24"/>
  <c r="CW26" s="1"/>
  <c r="DE9"/>
  <c r="DI9" s="1"/>
  <c r="DA111"/>
  <c r="CW113"/>
  <c r="DJ66"/>
  <c r="CW7"/>
  <c r="CW82"/>
  <c r="CN231"/>
  <c r="CM7"/>
  <c r="CN7"/>
  <c r="CO7"/>
  <c r="CN198"/>
  <c r="CM82"/>
  <c r="CM89" s="1"/>
  <c r="CN82"/>
  <c r="CN89" s="1"/>
  <c r="CO82"/>
  <c r="CO89" s="1"/>
  <c r="CR2"/>
  <c r="DL163" l="1"/>
  <c r="DN163"/>
  <c r="DN289"/>
  <c r="DL289"/>
  <c r="DN307"/>
  <c r="DL307"/>
  <c r="DN123"/>
  <c r="DL123"/>
  <c r="DN195"/>
  <c r="DL195"/>
  <c r="DM21"/>
  <c r="DM78"/>
  <c r="DK178"/>
  <c r="DK204"/>
  <c r="DK229"/>
  <c r="DM277"/>
  <c r="DM285"/>
  <c r="DM12"/>
  <c r="DM25"/>
  <c r="DK38"/>
  <c r="DK77"/>
  <c r="DK92"/>
  <c r="DK141"/>
  <c r="DM194"/>
  <c r="DK270"/>
  <c r="DK280"/>
  <c r="DK303"/>
  <c r="DK306"/>
  <c r="DM18"/>
  <c r="DM42"/>
  <c r="DM114"/>
  <c r="DM157"/>
  <c r="DM202"/>
  <c r="DK275"/>
  <c r="DM22"/>
  <c r="DM35"/>
  <c r="DM119"/>
  <c r="DK136"/>
  <c r="DK170"/>
  <c r="DM201"/>
  <c r="DK274"/>
  <c r="DK282"/>
  <c r="DK305"/>
  <c r="DN226"/>
  <c r="DL226"/>
  <c r="DK73"/>
  <c r="DK88"/>
  <c r="DM200"/>
  <c r="DM220"/>
  <c r="DK273"/>
  <c r="DK281"/>
  <c r="DK304"/>
  <c r="DK279"/>
  <c r="DK12"/>
  <c r="DK25"/>
  <c r="DM38"/>
  <c r="DM77"/>
  <c r="DM92"/>
  <c r="DM141"/>
  <c r="DK194"/>
  <c r="DM270"/>
  <c r="DK18"/>
  <c r="DK42"/>
  <c r="DK114"/>
  <c r="DK157"/>
  <c r="DK202"/>
  <c r="DK22"/>
  <c r="DK35"/>
  <c r="DK119"/>
  <c r="DM136"/>
  <c r="DK201"/>
  <c r="DL57"/>
  <c r="DN57"/>
  <c r="DL199"/>
  <c r="DN199"/>
  <c r="DN143"/>
  <c r="DL143"/>
  <c r="DL267"/>
  <c r="DN267"/>
  <c r="DM73"/>
  <c r="DK200"/>
  <c r="DK220"/>
  <c r="DM6"/>
  <c r="DK20"/>
  <c r="DM31"/>
  <c r="DK44"/>
  <c r="DK87"/>
  <c r="DK124"/>
  <c r="DK161"/>
  <c r="DM203"/>
  <c r="DK276"/>
  <c r="DK284"/>
  <c r="DK283"/>
  <c r="DM23"/>
  <c r="DM81"/>
  <c r="DK131"/>
  <c r="DM198"/>
  <c r="DM232"/>
  <c r="DM9"/>
  <c r="DM28"/>
  <c r="DK74"/>
  <c r="DK103"/>
  <c r="DK130"/>
  <c r="DM144"/>
  <c r="DM197"/>
  <c r="DM230"/>
  <c r="DK278"/>
  <c r="DM287"/>
  <c r="DN66"/>
  <c r="DL66"/>
  <c r="DL93"/>
  <c r="DN93"/>
  <c r="DL112"/>
  <c r="DN112"/>
  <c r="DN224"/>
  <c r="DL224"/>
  <c r="DN38"/>
  <c r="DL38"/>
  <c r="DL39" s="1"/>
  <c r="DL40"/>
  <c r="DL43" s="1"/>
  <c r="DN40"/>
  <c r="DK21"/>
  <c r="DK78"/>
  <c r="DM178"/>
  <c r="DM204"/>
  <c r="DM229"/>
  <c r="DK6"/>
  <c r="DM20"/>
  <c r="DK31"/>
  <c r="DM44"/>
  <c r="DM87"/>
  <c r="DM124"/>
  <c r="DM161"/>
  <c r="DK203"/>
  <c r="DK23"/>
  <c r="DK81"/>
  <c r="DM131"/>
  <c r="DK198"/>
  <c r="DK232"/>
  <c r="DK9"/>
  <c r="DK28"/>
  <c r="DM74"/>
  <c r="DM103"/>
  <c r="DM130"/>
  <c r="DK144"/>
  <c r="DK197"/>
  <c r="DK230"/>
  <c r="DE226"/>
  <c r="DE14"/>
  <c r="DE40"/>
  <c r="DE115"/>
  <c r="DA179"/>
  <c r="DE177"/>
  <c r="DA39"/>
  <c r="DE37"/>
  <c r="DA79"/>
  <c r="DE76"/>
  <c r="DA125"/>
  <c r="DE123"/>
  <c r="DA195"/>
  <c r="DE193"/>
  <c r="DA225"/>
  <c r="DE224"/>
  <c r="DE181"/>
  <c r="DE307"/>
  <c r="DA24"/>
  <c r="DE17"/>
  <c r="DJ59"/>
  <c r="DJ205"/>
  <c r="DJ225"/>
  <c r="DE241"/>
  <c r="DJ290"/>
  <c r="DJ146"/>
  <c r="DJ269"/>
  <c r="DJ43"/>
  <c r="DN43" s="1"/>
  <c r="DE222"/>
  <c r="DJ113"/>
  <c r="DJ164"/>
  <c r="DE50"/>
  <c r="DI309"/>
  <c r="DJ39"/>
  <c r="DN39" s="1"/>
  <c r="DA75"/>
  <c r="DE72"/>
  <c r="DE132"/>
  <c r="DA205"/>
  <c r="DE199"/>
  <c r="DE30"/>
  <c r="DE66"/>
  <c r="DA93"/>
  <c r="DE91"/>
  <c r="DA142"/>
  <c r="DE218"/>
  <c r="DA290"/>
  <c r="DE289"/>
  <c r="DE239"/>
  <c r="DE82"/>
  <c r="DI80"/>
  <c r="DA29"/>
  <c r="DE27"/>
  <c r="DE111"/>
  <c r="DI111" s="1"/>
  <c r="DE166"/>
  <c r="DJ125"/>
  <c r="DJ142"/>
  <c r="DJ134"/>
  <c r="DN134" l="1"/>
  <c r="DL134"/>
  <c r="DM309"/>
  <c r="DK309"/>
  <c r="DL290"/>
  <c r="DN290"/>
  <c r="DN59"/>
  <c r="DL59"/>
  <c r="DK111"/>
  <c r="DM80"/>
  <c r="DK80"/>
  <c r="DN113"/>
  <c r="DL113"/>
  <c r="DN146"/>
  <c r="DL146"/>
  <c r="DN205"/>
  <c r="DL205"/>
  <c r="DN125"/>
  <c r="DL125"/>
  <c r="DN164"/>
  <c r="DL164"/>
  <c r="DN269"/>
  <c r="DL269"/>
  <c r="DN225"/>
  <c r="DL225"/>
  <c r="DL142"/>
  <c r="DN142"/>
  <c r="DM111"/>
  <c r="DA26"/>
  <c r="DE29"/>
  <c r="DI27"/>
  <c r="DI239"/>
  <c r="DE93"/>
  <c r="DI91"/>
  <c r="DI132"/>
  <c r="DI82"/>
  <c r="DE142"/>
  <c r="DE205"/>
  <c r="DI199"/>
  <c r="DI222"/>
  <c r="DE195"/>
  <c r="DI193"/>
  <c r="DE179"/>
  <c r="DI177"/>
  <c r="DI226"/>
  <c r="DI218"/>
  <c r="DI30"/>
  <c r="DI50"/>
  <c r="DI241"/>
  <c r="DE225"/>
  <c r="DI224"/>
  <c r="DE39"/>
  <c r="DI37"/>
  <c r="DI40"/>
  <c r="DI14"/>
  <c r="DI166"/>
  <c r="DE290"/>
  <c r="DI289"/>
  <c r="DI66"/>
  <c r="DE75"/>
  <c r="DI72"/>
  <c r="DE24"/>
  <c r="DE26" s="1"/>
  <c r="DI17"/>
  <c r="DI181"/>
  <c r="DE79"/>
  <c r="DI76"/>
  <c r="DI307"/>
  <c r="DE125"/>
  <c r="DI123"/>
  <c r="DI115"/>
  <c r="CR91"/>
  <c r="CR298"/>
  <c r="CP297"/>
  <c r="CR296"/>
  <c r="CP267"/>
  <c r="CP264"/>
  <c r="CR264"/>
  <c r="CR239"/>
  <c r="CP207"/>
  <c r="CP209" s="1"/>
  <c r="CP223" s="1"/>
  <c r="CR207"/>
  <c r="CP177"/>
  <c r="DM181" l="1"/>
  <c r="DK181"/>
  <c r="DK166"/>
  <c r="DM166"/>
  <c r="DM50"/>
  <c r="DK50"/>
  <c r="DM177"/>
  <c r="DK177"/>
  <c r="DM222"/>
  <c r="DK222"/>
  <c r="DM82"/>
  <c r="DK82"/>
  <c r="DK239"/>
  <c r="DM239"/>
  <c r="DM123"/>
  <c r="DK123"/>
  <c r="DK72"/>
  <c r="DM72"/>
  <c r="DM37"/>
  <c r="DK37"/>
  <c r="DK39" s="1"/>
  <c r="DM241"/>
  <c r="DK241"/>
  <c r="DK226"/>
  <c r="DM226"/>
  <c r="DM115"/>
  <c r="DK115"/>
  <c r="DM76"/>
  <c r="DK76"/>
  <c r="DK289"/>
  <c r="DM289"/>
  <c r="DM40"/>
  <c r="DK40"/>
  <c r="DK218"/>
  <c r="DM218"/>
  <c r="DK193"/>
  <c r="DM193"/>
  <c r="DM91"/>
  <c r="DK91"/>
  <c r="DM307"/>
  <c r="DK307"/>
  <c r="DK17"/>
  <c r="DK24" s="1"/>
  <c r="DK26" s="1"/>
  <c r="DM17"/>
  <c r="DK66"/>
  <c r="DM66"/>
  <c r="DK14"/>
  <c r="DM14"/>
  <c r="DM224"/>
  <c r="DK224"/>
  <c r="DM30"/>
  <c r="DK30"/>
  <c r="DK199"/>
  <c r="DM199"/>
  <c r="DM132"/>
  <c r="DK132"/>
  <c r="DM27"/>
  <c r="DK27"/>
  <c r="DK29" s="1"/>
  <c r="DI125"/>
  <c r="DI79"/>
  <c r="DI24"/>
  <c r="DM24" s="1"/>
  <c r="DI39"/>
  <c r="DM39" s="1"/>
  <c r="DI195"/>
  <c r="DI142"/>
  <c r="DI93"/>
  <c r="DI29"/>
  <c r="DM29" s="1"/>
  <c r="DI75"/>
  <c r="DI290"/>
  <c r="DI225"/>
  <c r="DI179"/>
  <c r="DI205"/>
  <c r="CT207"/>
  <c r="CR95"/>
  <c r="DM225" l="1"/>
  <c r="DK225"/>
  <c r="DM93"/>
  <c r="DK93"/>
  <c r="DM179"/>
  <c r="DK179"/>
  <c r="DM205"/>
  <c r="DK205"/>
  <c r="DM75"/>
  <c r="DK75"/>
  <c r="DM195"/>
  <c r="DK195"/>
  <c r="DM125"/>
  <c r="DK125"/>
  <c r="DM290"/>
  <c r="DK290"/>
  <c r="DM142"/>
  <c r="DK142"/>
  <c r="DM79"/>
  <c r="DK79"/>
  <c r="DI26"/>
  <c r="DM26" s="1"/>
  <c r="CV207"/>
  <c r="CP60"/>
  <c r="CP62" s="1"/>
  <c r="CP37"/>
  <c r="CP39" s="1"/>
  <c r="CR272"/>
  <c r="CR286" s="1"/>
  <c r="CM308"/>
  <c r="CN308"/>
  <c r="CO308"/>
  <c r="CP308"/>
  <c r="CM290"/>
  <c r="CN290"/>
  <c r="CO290"/>
  <c r="CP290"/>
  <c r="CM286"/>
  <c r="CM288" s="1"/>
  <c r="CN286"/>
  <c r="CN288" s="1"/>
  <c r="CO286"/>
  <c r="CO288" s="1"/>
  <c r="CP286"/>
  <c r="CP288" s="1"/>
  <c r="CM269"/>
  <c r="CM271" s="1"/>
  <c r="CN269"/>
  <c r="CO269"/>
  <c r="CO271" s="1"/>
  <c r="CP269"/>
  <c r="CP271" s="1"/>
  <c r="CM265"/>
  <c r="CN265"/>
  <c r="CO265"/>
  <c r="CP265"/>
  <c r="CM260"/>
  <c r="CN260"/>
  <c r="CO260"/>
  <c r="CP260"/>
  <c r="CM256"/>
  <c r="CN256"/>
  <c r="CO256"/>
  <c r="CP256"/>
  <c r="CM253"/>
  <c r="CN253"/>
  <c r="CO253"/>
  <c r="CM248"/>
  <c r="CN248"/>
  <c r="CO248"/>
  <c r="CN238"/>
  <c r="CO238"/>
  <c r="CP238"/>
  <c r="CP240" s="1"/>
  <c r="CM228"/>
  <c r="CM225"/>
  <c r="CM221"/>
  <c r="CN221"/>
  <c r="CN223" s="1"/>
  <c r="CO221"/>
  <c r="CO223" s="1"/>
  <c r="CM187"/>
  <c r="CM184"/>
  <c r="CN184"/>
  <c r="CO184"/>
  <c r="CP184"/>
  <c r="CM179"/>
  <c r="CN179"/>
  <c r="CO179"/>
  <c r="CP179"/>
  <c r="CM174"/>
  <c r="CN174"/>
  <c r="CO174"/>
  <c r="CP174"/>
  <c r="CL177"/>
  <c r="DB177" s="1"/>
  <c r="CM168"/>
  <c r="CN168"/>
  <c r="CO168"/>
  <c r="CP168"/>
  <c r="CM164"/>
  <c r="CN164"/>
  <c r="CO164"/>
  <c r="CP164"/>
  <c r="CM160"/>
  <c r="CN160"/>
  <c r="CO160"/>
  <c r="CP160"/>
  <c r="CL161"/>
  <c r="DB161" s="1"/>
  <c r="CL164"/>
  <c r="CL165"/>
  <c r="CL168"/>
  <c r="CL170"/>
  <c r="DB170" s="1"/>
  <c r="CL174"/>
  <c r="CM156"/>
  <c r="CN156"/>
  <c r="CO156"/>
  <c r="CP156"/>
  <c r="CM146"/>
  <c r="CN146"/>
  <c r="CO146"/>
  <c r="CP146"/>
  <c r="CM142"/>
  <c r="CN142"/>
  <c r="CO142"/>
  <c r="CP142"/>
  <c r="CM139"/>
  <c r="CN139"/>
  <c r="CO139"/>
  <c r="CP139"/>
  <c r="CX207" l="1"/>
  <c r="DB179"/>
  <c r="DF177"/>
  <c r="DJ177" s="1"/>
  <c r="DF161"/>
  <c r="DJ161" s="1"/>
  <c r="DH207"/>
  <c r="CN185"/>
  <c r="DF170"/>
  <c r="CO185"/>
  <c r="CP185"/>
  <c r="CL179"/>
  <c r="CN271"/>
  <c r="CM185"/>
  <c r="CP262"/>
  <c r="CN240"/>
  <c r="CM262"/>
  <c r="CO240"/>
  <c r="CN262"/>
  <c r="CO262"/>
  <c r="CM223"/>
  <c r="CM134"/>
  <c r="CN134"/>
  <c r="CO134"/>
  <c r="CP134"/>
  <c r="CM125"/>
  <c r="CN125"/>
  <c r="CO125"/>
  <c r="CP125"/>
  <c r="CM122"/>
  <c r="CN122"/>
  <c r="CO122"/>
  <c r="CP122"/>
  <c r="CM107"/>
  <c r="CN107"/>
  <c r="CO107"/>
  <c r="CP107"/>
  <c r="CP82"/>
  <c r="DB207" l="1"/>
  <c r="DL161"/>
  <c r="DN161"/>
  <c r="DN177"/>
  <c r="DL177"/>
  <c r="DJ170"/>
  <c r="DF207"/>
  <c r="DJ207" s="1"/>
  <c r="DF179"/>
  <c r="CP135"/>
  <c r="CT91"/>
  <c r="CT95"/>
  <c r="CT239"/>
  <c r="CT264"/>
  <c r="CV264" s="1"/>
  <c r="DN264" s="1"/>
  <c r="CT272"/>
  <c r="CT296"/>
  <c r="CV296" s="1"/>
  <c r="CT298"/>
  <c r="CV298" s="1"/>
  <c r="CQ6"/>
  <c r="CS6" s="1"/>
  <c r="CR6"/>
  <c r="CT6" s="1"/>
  <c r="CR8"/>
  <c r="CQ9"/>
  <c r="CS9" s="1"/>
  <c r="CR9"/>
  <c r="CT9" s="1"/>
  <c r="CQ12"/>
  <c r="CS12" s="1"/>
  <c r="CR12"/>
  <c r="CT12" s="1"/>
  <c r="CQ14"/>
  <c r="CR15"/>
  <c r="CT15" s="1"/>
  <c r="CQ17"/>
  <c r="CQ18"/>
  <c r="CS18" s="1"/>
  <c r="CR18"/>
  <c r="CT18" s="1"/>
  <c r="CQ19"/>
  <c r="CS19" s="1"/>
  <c r="CR19"/>
  <c r="CT19" s="1"/>
  <c r="CQ20"/>
  <c r="CS20" s="1"/>
  <c r="CR20"/>
  <c r="CT20" s="1"/>
  <c r="CQ21"/>
  <c r="CS21" s="1"/>
  <c r="CR21"/>
  <c r="CT21" s="1"/>
  <c r="CQ22"/>
  <c r="CS22" s="1"/>
  <c r="CR22"/>
  <c r="CT22" s="1"/>
  <c r="CQ23"/>
  <c r="CS23" s="1"/>
  <c r="CR23"/>
  <c r="CT23" s="1"/>
  <c r="CQ25"/>
  <c r="CS25" s="1"/>
  <c r="CR25"/>
  <c r="CT25" s="1"/>
  <c r="CQ27"/>
  <c r="CR27"/>
  <c r="CQ28"/>
  <c r="CR28"/>
  <c r="CQ30"/>
  <c r="CQ31"/>
  <c r="CS31" s="1"/>
  <c r="CR31"/>
  <c r="CT31" s="1"/>
  <c r="CR32"/>
  <c r="CT32" s="1"/>
  <c r="CQ35"/>
  <c r="CS35" s="1"/>
  <c r="CR35"/>
  <c r="CT35" s="1"/>
  <c r="CQ37"/>
  <c r="CR37"/>
  <c r="CQ38"/>
  <c r="CS38" s="1"/>
  <c r="CR38"/>
  <c r="CT38" s="1"/>
  <c r="CQ40"/>
  <c r="CR40"/>
  <c r="CR41"/>
  <c r="CT41" s="1"/>
  <c r="CQ42"/>
  <c r="CS42" s="1"/>
  <c r="CR42"/>
  <c r="CT42" s="1"/>
  <c r="CQ44"/>
  <c r="CS44" s="1"/>
  <c r="CQ45"/>
  <c r="CQ47"/>
  <c r="CR47"/>
  <c r="CT47" s="1"/>
  <c r="CQ48"/>
  <c r="CS48" s="1"/>
  <c r="CR48"/>
  <c r="CT48" s="1"/>
  <c r="CQ50"/>
  <c r="CR51"/>
  <c r="CT51" s="1"/>
  <c r="CQ53"/>
  <c r="CR53"/>
  <c r="CQ54"/>
  <c r="CR54"/>
  <c r="CQ55"/>
  <c r="CR55"/>
  <c r="CQ57"/>
  <c r="CR57"/>
  <c r="CQ58"/>
  <c r="CS58" s="1"/>
  <c r="CR58"/>
  <c r="CT58" s="1"/>
  <c r="CR61"/>
  <c r="CT61" s="1"/>
  <c r="CQ63"/>
  <c r="CR64"/>
  <c r="CT64" s="1"/>
  <c r="CQ66"/>
  <c r="CR66"/>
  <c r="CQ67"/>
  <c r="CR67"/>
  <c r="CT67" s="1"/>
  <c r="CR69"/>
  <c r="CQ70"/>
  <c r="CR70"/>
  <c r="CQ72"/>
  <c r="CQ73"/>
  <c r="CS73" s="1"/>
  <c r="CR73"/>
  <c r="CT73" s="1"/>
  <c r="CQ74"/>
  <c r="CS74" s="1"/>
  <c r="CR74"/>
  <c r="CT74" s="1"/>
  <c r="CQ76"/>
  <c r="CQ77"/>
  <c r="CS77" s="1"/>
  <c r="CR77"/>
  <c r="CT77" s="1"/>
  <c r="CQ78"/>
  <c r="CS78" s="1"/>
  <c r="CR78"/>
  <c r="CT78" s="1"/>
  <c r="CQ80"/>
  <c r="CS80" s="1"/>
  <c r="CQ81"/>
  <c r="CS81" s="1"/>
  <c r="CR81"/>
  <c r="CT81" s="1"/>
  <c r="CR83"/>
  <c r="CR84"/>
  <c r="CQ86"/>
  <c r="CR86"/>
  <c r="CQ87"/>
  <c r="CR87"/>
  <c r="CT87" s="1"/>
  <c r="CQ88"/>
  <c r="CS88" s="1"/>
  <c r="CR88"/>
  <c r="CQ91"/>
  <c r="CQ92"/>
  <c r="CS92" s="1"/>
  <c r="CR92"/>
  <c r="CR93" s="1"/>
  <c r="CQ94"/>
  <c r="CR94"/>
  <c r="CQ95"/>
  <c r="CQ96"/>
  <c r="CR97"/>
  <c r="CT97" s="1"/>
  <c r="CQ99"/>
  <c r="CQ100"/>
  <c r="CR100"/>
  <c r="CQ102"/>
  <c r="CQ103"/>
  <c r="CS103" s="1"/>
  <c r="CR103"/>
  <c r="CT103" s="1"/>
  <c r="CQ105"/>
  <c r="CQ106"/>
  <c r="CR106"/>
  <c r="CQ108"/>
  <c r="CR109"/>
  <c r="CT109" s="1"/>
  <c r="CQ111"/>
  <c r="CR111"/>
  <c r="CR112"/>
  <c r="CT112" s="1"/>
  <c r="CQ114"/>
  <c r="CS114" s="1"/>
  <c r="CR114"/>
  <c r="CT114" s="1"/>
  <c r="CQ115"/>
  <c r="CR116"/>
  <c r="CT116" s="1"/>
  <c r="CQ119"/>
  <c r="CS119" s="1"/>
  <c r="CR119"/>
  <c r="CT119" s="1"/>
  <c r="CQ120"/>
  <c r="CR120"/>
  <c r="CQ121"/>
  <c r="CR121"/>
  <c r="CQ123"/>
  <c r="CR123"/>
  <c r="CQ124"/>
  <c r="CS124" s="1"/>
  <c r="CR124"/>
  <c r="CT124" s="1"/>
  <c r="CQ126"/>
  <c r="CR126"/>
  <c r="CQ128"/>
  <c r="CR128"/>
  <c r="CQ129"/>
  <c r="CR129"/>
  <c r="CQ130"/>
  <c r="CS130" s="1"/>
  <c r="CR130"/>
  <c r="CT130" s="1"/>
  <c r="CQ131"/>
  <c r="CS131" s="1"/>
  <c r="CR131"/>
  <c r="CT131" s="1"/>
  <c r="CQ132"/>
  <c r="CR132"/>
  <c r="CR133"/>
  <c r="CT133" s="1"/>
  <c r="CQ136"/>
  <c r="CS136" s="1"/>
  <c r="CR136"/>
  <c r="CT136" s="1"/>
  <c r="CQ137"/>
  <c r="CR137"/>
  <c r="CQ138"/>
  <c r="CR138"/>
  <c r="CQ140"/>
  <c r="CR140"/>
  <c r="CQ141"/>
  <c r="CS141" s="1"/>
  <c r="CR141"/>
  <c r="CT141" s="1"/>
  <c r="CR143"/>
  <c r="CQ144"/>
  <c r="CS144" s="1"/>
  <c r="CR144"/>
  <c r="CT144" s="1"/>
  <c r="CQ145"/>
  <c r="CS145" s="1"/>
  <c r="CR145"/>
  <c r="CT145" s="1"/>
  <c r="CQ147"/>
  <c r="CQ148"/>
  <c r="CR148"/>
  <c r="CQ149"/>
  <c r="CR149"/>
  <c r="CQ150"/>
  <c r="CR150"/>
  <c r="CQ151"/>
  <c r="CR151"/>
  <c r="CQ152"/>
  <c r="CR152"/>
  <c r="CQ153"/>
  <c r="CR153"/>
  <c r="CQ154"/>
  <c r="CR154"/>
  <c r="CQ155"/>
  <c r="CR155"/>
  <c r="CQ157"/>
  <c r="CS157" s="1"/>
  <c r="CR157"/>
  <c r="CT157" s="1"/>
  <c r="CQ158"/>
  <c r="CQ159"/>
  <c r="CR159"/>
  <c r="CQ161"/>
  <c r="CR161"/>
  <c r="CQ162"/>
  <c r="CR162"/>
  <c r="CQ163"/>
  <c r="CR163"/>
  <c r="CT163" s="1"/>
  <c r="CQ165"/>
  <c r="CR165"/>
  <c r="CQ166"/>
  <c r="CR166"/>
  <c r="CQ167"/>
  <c r="CR167"/>
  <c r="CQ169"/>
  <c r="CS169" s="1"/>
  <c r="CR169"/>
  <c r="CT169" s="1"/>
  <c r="CQ170"/>
  <c r="CS170" s="1"/>
  <c r="CR170"/>
  <c r="CT170" s="1"/>
  <c r="CQ171"/>
  <c r="CR171"/>
  <c r="CQ172"/>
  <c r="CR172"/>
  <c r="CQ173"/>
  <c r="CR173"/>
  <c r="CQ175"/>
  <c r="CS175" s="1"/>
  <c r="CR175"/>
  <c r="CT175" s="1"/>
  <c r="CQ176"/>
  <c r="CR176"/>
  <c r="CQ177"/>
  <c r="CR177"/>
  <c r="CQ178"/>
  <c r="CS178" s="1"/>
  <c r="CR178"/>
  <c r="CT178" s="1"/>
  <c r="CR180"/>
  <c r="CQ181"/>
  <c r="CR181"/>
  <c r="CQ182"/>
  <c r="CR182"/>
  <c r="CQ183"/>
  <c r="CR183"/>
  <c r="CQ186"/>
  <c r="CQ187" s="1"/>
  <c r="CQ188"/>
  <c r="CQ189"/>
  <c r="CR189"/>
  <c r="CQ190"/>
  <c r="CR190"/>
  <c r="CQ192"/>
  <c r="CR192"/>
  <c r="CQ193"/>
  <c r="CR193"/>
  <c r="CQ194"/>
  <c r="CS194" s="1"/>
  <c r="CR194"/>
  <c r="CT194" s="1"/>
  <c r="CQ197"/>
  <c r="CS197" s="1"/>
  <c r="CQ198"/>
  <c r="CS198" s="1"/>
  <c r="CQ199"/>
  <c r="CR199"/>
  <c r="CQ200"/>
  <c r="CS200" s="1"/>
  <c r="CR200"/>
  <c r="CT200" s="1"/>
  <c r="CQ201"/>
  <c r="CS201" s="1"/>
  <c r="CR201"/>
  <c r="CT201" s="1"/>
  <c r="CQ202"/>
  <c r="CS202" s="1"/>
  <c r="CR202"/>
  <c r="CT202" s="1"/>
  <c r="CQ203"/>
  <c r="CS203" s="1"/>
  <c r="CR203"/>
  <c r="CT203" s="1"/>
  <c r="CQ204"/>
  <c r="CS204" s="1"/>
  <c r="CR204"/>
  <c r="CT204" s="1"/>
  <c r="CQ206"/>
  <c r="CQ207"/>
  <c r="CQ208"/>
  <c r="CR208"/>
  <c r="CR209" s="1"/>
  <c r="CQ211"/>
  <c r="CR211"/>
  <c r="CQ212"/>
  <c r="CR212"/>
  <c r="CQ214"/>
  <c r="CR214"/>
  <c r="CQ215"/>
  <c r="CR215"/>
  <c r="CQ216"/>
  <c r="CR216"/>
  <c r="CQ218"/>
  <c r="CR218"/>
  <c r="CR219"/>
  <c r="CQ220"/>
  <c r="CS220" s="1"/>
  <c r="CR220"/>
  <c r="CQ222"/>
  <c r="CR222"/>
  <c r="CQ224"/>
  <c r="CQ225" s="1"/>
  <c r="CR224"/>
  <c r="CR225" s="1"/>
  <c r="CQ226"/>
  <c r="CR226"/>
  <c r="CQ227"/>
  <c r="CR227"/>
  <c r="CQ229"/>
  <c r="CS229" s="1"/>
  <c r="CQ230"/>
  <c r="CS230" s="1"/>
  <c r="CQ232"/>
  <c r="CS232" s="1"/>
  <c r="CQ233"/>
  <c r="CQ234"/>
  <c r="CR234"/>
  <c r="CQ236"/>
  <c r="CQ237"/>
  <c r="CR237"/>
  <c r="CQ239"/>
  <c r="CQ241"/>
  <c r="CR242"/>
  <c r="CQ243"/>
  <c r="CR243"/>
  <c r="CR244"/>
  <c r="CT244" s="1"/>
  <c r="CQ245"/>
  <c r="CR245"/>
  <c r="CQ246"/>
  <c r="CR246"/>
  <c r="CQ247"/>
  <c r="CR247"/>
  <c r="CQ249"/>
  <c r="CR249"/>
  <c r="CR250"/>
  <c r="CR251"/>
  <c r="CQ252"/>
  <c r="CR252"/>
  <c r="CQ255"/>
  <c r="CR255"/>
  <c r="CQ257"/>
  <c r="CR257"/>
  <c r="CQ258"/>
  <c r="CR258"/>
  <c r="CQ259"/>
  <c r="CR259"/>
  <c r="CQ261"/>
  <c r="CR261"/>
  <c r="CR263"/>
  <c r="CR265" s="1"/>
  <c r="CQ264"/>
  <c r="CQ267"/>
  <c r="CR267"/>
  <c r="CR269" s="1"/>
  <c r="CR268"/>
  <c r="CT268" s="1"/>
  <c r="CQ270"/>
  <c r="CS270" s="1"/>
  <c r="CR270"/>
  <c r="CT270" s="1"/>
  <c r="CQ272"/>
  <c r="CQ286" s="1"/>
  <c r="CQ273"/>
  <c r="CS273" s="1"/>
  <c r="CR273"/>
  <c r="CT273" s="1"/>
  <c r="CQ274"/>
  <c r="CS274" s="1"/>
  <c r="CR274"/>
  <c r="CT274" s="1"/>
  <c r="CQ275"/>
  <c r="CS275" s="1"/>
  <c r="CR275"/>
  <c r="CT275" s="1"/>
  <c r="CQ276"/>
  <c r="CS276" s="1"/>
  <c r="CR276"/>
  <c r="CT276" s="1"/>
  <c r="CQ277"/>
  <c r="CS277" s="1"/>
  <c r="CR277"/>
  <c r="CT277" s="1"/>
  <c r="CQ278"/>
  <c r="CS278" s="1"/>
  <c r="CR278"/>
  <c r="CT278" s="1"/>
  <c r="CQ279"/>
  <c r="CS279" s="1"/>
  <c r="CR279"/>
  <c r="CT279" s="1"/>
  <c r="CQ280"/>
  <c r="CS280" s="1"/>
  <c r="CR280"/>
  <c r="CT280" s="1"/>
  <c r="CQ281"/>
  <c r="CS281" s="1"/>
  <c r="CR281"/>
  <c r="CT281" s="1"/>
  <c r="CQ282"/>
  <c r="CS282" s="1"/>
  <c r="CR282"/>
  <c r="CT282" s="1"/>
  <c r="CQ283"/>
  <c r="CS283" s="1"/>
  <c r="CR283"/>
  <c r="CT283" s="1"/>
  <c r="CQ284"/>
  <c r="CS284" s="1"/>
  <c r="CR284"/>
  <c r="CT284" s="1"/>
  <c r="CQ285"/>
  <c r="CS285" s="1"/>
  <c r="CR285"/>
  <c r="CT285" s="1"/>
  <c r="CQ287"/>
  <c r="CS287" s="1"/>
  <c r="CR287"/>
  <c r="CR288" s="1"/>
  <c r="CQ289"/>
  <c r="CQ290" s="1"/>
  <c r="CR289"/>
  <c r="CR290" s="1"/>
  <c r="CQ291"/>
  <c r="CR291"/>
  <c r="CR292"/>
  <c r="CR293"/>
  <c r="CT293" s="1"/>
  <c r="CR294"/>
  <c r="CR295"/>
  <c r="CR297"/>
  <c r="CR299"/>
  <c r="CT299" s="1"/>
  <c r="CR300"/>
  <c r="CT300" s="1"/>
  <c r="CR301"/>
  <c r="CT301" s="1"/>
  <c r="CR302"/>
  <c r="CT302" s="1"/>
  <c r="CQ303"/>
  <c r="CS303" s="1"/>
  <c r="CR303"/>
  <c r="CT303" s="1"/>
  <c r="CQ304"/>
  <c r="CS304" s="1"/>
  <c r="CR304"/>
  <c r="CT304" s="1"/>
  <c r="CQ305"/>
  <c r="CS305" s="1"/>
  <c r="CR305"/>
  <c r="CT305" s="1"/>
  <c r="CQ306"/>
  <c r="CS306" s="1"/>
  <c r="CR306"/>
  <c r="CT306" s="1"/>
  <c r="CQ307"/>
  <c r="CR307"/>
  <c r="CR308" s="1"/>
  <c r="CQ309"/>
  <c r="CS309" s="1"/>
  <c r="CR309"/>
  <c r="CM238"/>
  <c r="CM240" s="1"/>
  <c r="CL241"/>
  <c r="DB241" s="1"/>
  <c r="CL253"/>
  <c r="CL254"/>
  <c r="CL260"/>
  <c r="CL265"/>
  <c r="CL266"/>
  <c r="CK295"/>
  <c r="CQ295" s="1"/>
  <c r="CK231"/>
  <c r="CK294"/>
  <c r="CK297"/>
  <c r="CQ297" s="1"/>
  <c r="CK300"/>
  <c r="DA300" s="1"/>
  <c r="CL233"/>
  <c r="CL235" s="1"/>
  <c r="CL206"/>
  <c r="CL186"/>
  <c r="DB186" s="1"/>
  <c r="CL99"/>
  <c r="CL17"/>
  <c r="DB17" s="1"/>
  <c r="CL236"/>
  <c r="CK219"/>
  <c r="DA219" s="1"/>
  <c r="CK196"/>
  <c r="DA196" s="1"/>
  <c r="CK133"/>
  <c r="DA133" s="1"/>
  <c r="CL108"/>
  <c r="CK97"/>
  <c r="CK32"/>
  <c r="DA32" s="1"/>
  <c r="CK8"/>
  <c r="DA8" s="1"/>
  <c r="CL96"/>
  <c r="CL105"/>
  <c r="CL147"/>
  <c r="CL188"/>
  <c r="DB188" s="1"/>
  <c r="CL196"/>
  <c r="DB196" s="1"/>
  <c r="CL231"/>
  <c r="CK266"/>
  <c r="DA266" s="1"/>
  <c r="CK268"/>
  <c r="CK263"/>
  <c r="CK250"/>
  <c r="CQ250" s="1"/>
  <c r="CK251"/>
  <c r="CK244"/>
  <c r="DA244" s="1"/>
  <c r="CL229"/>
  <c r="DB229" s="1"/>
  <c r="CK143"/>
  <c r="DA143" s="1"/>
  <c r="CL127"/>
  <c r="DB127" s="1"/>
  <c r="CK127"/>
  <c r="DA127" s="1"/>
  <c r="CK118"/>
  <c r="CL118"/>
  <c r="CL115"/>
  <c r="CK90"/>
  <c r="DA90" s="1"/>
  <c r="CL90"/>
  <c r="DB90" s="1"/>
  <c r="CK84"/>
  <c r="CQ84" s="1"/>
  <c r="CK83"/>
  <c r="CL80"/>
  <c r="DB80" s="1"/>
  <c r="CL76"/>
  <c r="DB76" s="1"/>
  <c r="CL72"/>
  <c r="DB72" s="1"/>
  <c r="CK69"/>
  <c r="CK64"/>
  <c r="CK60"/>
  <c r="CL60"/>
  <c r="CK51"/>
  <c r="DA51" s="1"/>
  <c r="CL46"/>
  <c r="DB46" s="1"/>
  <c r="CK46"/>
  <c r="CK41"/>
  <c r="DA41" s="1"/>
  <c r="CK34"/>
  <c r="CQ34" s="1"/>
  <c r="CQ36" s="1"/>
  <c r="CL34"/>
  <c r="DB34" s="1"/>
  <c r="CK15"/>
  <c r="DA15" s="1"/>
  <c r="CK11"/>
  <c r="DA11" s="1"/>
  <c r="CK5"/>
  <c r="CK109"/>
  <c r="CK112"/>
  <c r="DA112" s="1"/>
  <c r="CK116"/>
  <c r="DA116" s="1"/>
  <c r="CK180"/>
  <c r="CQ180" s="1"/>
  <c r="CK210"/>
  <c r="DA210" s="1"/>
  <c r="CK242"/>
  <c r="CK254"/>
  <c r="CK299"/>
  <c r="CK292"/>
  <c r="CK302"/>
  <c r="DA302" s="1"/>
  <c r="CK301"/>
  <c r="DA301" s="1"/>
  <c r="CK298"/>
  <c r="CQ298" s="1"/>
  <c r="CK296"/>
  <c r="CK293"/>
  <c r="DA293" s="1"/>
  <c r="CL158"/>
  <c r="CL197"/>
  <c r="DB197" s="1"/>
  <c r="CL198"/>
  <c r="DB198" s="1"/>
  <c r="CL210"/>
  <c r="DB210" s="1"/>
  <c r="CL230"/>
  <c r="DB230" s="1"/>
  <c r="CL232"/>
  <c r="DB232" s="1"/>
  <c r="CL102"/>
  <c r="CL104" s="1"/>
  <c r="CL63"/>
  <c r="CL65" s="1"/>
  <c r="CL50"/>
  <c r="CL45"/>
  <c r="DB45" s="1"/>
  <c r="CL44"/>
  <c r="DB44" s="1"/>
  <c r="CL30"/>
  <c r="CL14"/>
  <c r="DB14" s="1"/>
  <c r="CL11"/>
  <c r="DB11" s="1"/>
  <c r="CL5"/>
  <c r="DB5" s="1"/>
  <c r="CQ228" l="1"/>
  <c r="CR217"/>
  <c r="CR195"/>
  <c r="CQ125"/>
  <c r="CR71"/>
  <c r="CQ29"/>
  <c r="DN207"/>
  <c r="DL170"/>
  <c r="DN170"/>
  <c r="DL207"/>
  <c r="CR221"/>
  <c r="CQ191"/>
  <c r="CR113"/>
  <c r="CQ101"/>
  <c r="CQ93"/>
  <c r="CR85"/>
  <c r="CR68"/>
  <c r="CQ59"/>
  <c r="CQ238"/>
  <c r="CQ217"/>
  <c r="CR125"/>
  <c r="CR29"/>
  <c r="DF45"/>
  <c r="DJ45" s="1"/>
  <c r="DF232"/>
  <c r="DJ232" s="1"/>
  <c r="DF197"/>
  <c r="DJ197" s="1"/>
  <c r="DE210"/>
  <c r="DB36"/>
  <c r="DF34"/>
  <c r="DB49"/>
  <c r="DF46"/>
  <c r="DB82"/>
  <c r="DF80"/>
  <c r="DE90"/>
  <c r="DI90" s="1"/>
  <c r="DE127"/>
  <c r="DI127" s="1"/>
  <c r="DE244"/>
  <c r="DI244" s="1"/>
  <c r="DF188"/>
  <c r="DA10"/>
  <c r="DE8"/>
  <c r="DE133"/>
  <c r="DA134"/>
  <c r="DB24"/>
  <c r="DF17"/>
  <c r="CT222"/>
  <c r="CS17"/>
  <c r="CS24" s="1"/>
  <c r="CS26" s="1"/>
  <c r="CQ24"/>
  <c r="CQ26" s="1"/>
  <c r="CV272"/>
  <c r="CT286"/>
  <c r="CQ260"/>
  <c r="CR228"/>
  <c r="CQ205"/>
  <c r="DB13"/>
  <c r="DF11"/>
  <c r="DJ11" s="1"/>
  <c r="DB7"/>
  <c r="DF5"/>
  <c r="DJ5" s="1"/>
  <c r="DF44"/>
  <c r="DJ44" s="1"/>
  <c r="DF198"/>
  <c r="DE293"/>
  <c r="DI293" s="1"/>
  <c r="DE302"/>
  <c r="DE112"/>
  <c r="DI112" s="1"/>
  <c r="DA113"/>
  <c r="DE15"/>
  <c r="DI15" s="1"/>
  <c r="DA16"/>
  <c r="DB79"/>
  <c r="DF76"/>
  <c r="DF90"/>
  <c r="DJ90" s="1"/>
  <c r="DF229"/>
  <c r="DJ229" s="1"/>
  <c r="DF196"/>
  <c r="DJ196" s="1"/>
  <c r="DB96"/>
  <c r="CL98"/>
  <c r="DB108"/>
  <c r="CL110"/>
  <c r="CS307"/>
  <c r="CS132"/>
  <c r="CS63"/>
  <c r="CT8"/>
  <c r="CT10" s="1"/>
  <c r="CR10"/>
  <c r="CX296"/>
  <c r="DB296" s="1"/>
  <c r="DH296"/>
  <c r="CR260"/>
  <c r="CR253"/>
  <c r="CQ209"/>
  <c r="CR205"/>
  <c r="CR59"/>
  <c r="CQ39"/>
  <c r="DB30"/>
  <c r="CL33"/>
  <c r="DF210"/>
  <c r="DE301"/>
  <c r="DI301" s="1"/>
  <c r="DE116"/>
  <c r="DA117"/>
  <c r="DA13"/>
  <c r="DE11"/>
  <c r="DI11" s="1"/>
  <c r="DE41"/>
  <c r="DA43"/>
  <c r="DB60"/>
  <c r="CL62"/>
  <c r="DB75"/>
  <c r="DF72"/>
  <c r="DJ72" s="1"/>
  <c r="DA146"/>
  <c r="DE143"/>
  <c r="DA97"/>
  <c r="CK98"/>
  <c r="DE219"/>
  <c r="DA221"/>
  <c r="DB187"/>
  <c r="DF186"/>
  <c r="DF187" s="1"/>
  <c r="CS193"/>
  <c r="CS195" s="1"/>
  <c r="CQ195"/>
  <c r="DH298"/>
  <c r="DJ179"/>
  <c r="CQ235"/>
  <c r="CR134"/>
  <c r="CQ104"/>
  <c r="CQ75"/>
  <c r="CQ56"/>
  <c r="CR43"/>
  <c r="CR39"/>
  <c r="DB16"/>
  <c r="DF14"/>
  <c r="DB50"/>
  <c r="CL52"/>
  <c r="DF230"/>
  <c r="DJ230" s="1"/>
  <c r="DE51"/>
  <c r="DA52"/>
  <c r="DB115"/>
  <c r="CL117"/>
  <c r="DF127"/>
  <c r="DE266"/>
  <c r="DI266" s="1"/>
  <c r="DE32"/>
  <c r="DA33"/>
  <c r="DE196"/>
  <c r="DI196" s="1"/>
  <c r="DE300"/>
  <c r="DI300" s="1"/>
  <c r="DF241"/>
  <c r="CS76"/>
  <c r="CS79" s="1"/>
  <c r="CQ79"/>
  <c r="CS66"/>
  <c r="CQ68"/>
  <c r="CS30"/>
  <c r="CQ288"/>
  <c r="CR56"/>
  <c r="DA5"/>
  <c r="CM135"/>
  <c r="CQ179"/>
  <c r="CR30"/>
  <c r="CR33" s="1"/>
  <c r="CR11"/>
  <c r="CR13" s="1"/>
  <c r="CR198"/>
  <c r="CT198" s="1"/>
  <c r="CR196"/>
  <c r="CT196" s="1"/>
  <c r="CR44"/>
  <c r="CT44" s="1"/>
  <c r="CR63"/>
  <c r="CR65" s="1"/>
  <c r="CR158"/>
  <c r="CT158" s="1"/>
  <c r="CV158" s="1"/>
  <c r="CR60"/>
  <c r="CR62" s="1"/>
  <c r="CR72"/>
  <c r="CR75" s="1"/>
  <c r="CR118"/>
  <c r="CR231"/>
  <c r="CR115"/>
  <c r="CR117" s="1"/>
  <c r="CR127"/>
  <c r="CT127" s="1"/>
  <c r="CR147"/>
  <c r="CR99"/>
  <c r="CR101" s="1"/>
  <c r="CR254"/>
  <c r="CX298"/>
  <c r="CN135"/>
  <c r="CN310" s="1"/>
  <c r="CS138"/>
  <c r="CU138" s="1"/>
  <c r="CQ116"/>
  <c r="CS116" s="1"/>
  <c r="CQ143"/>
  <c r="CS250"/>
  <c r="CU250" s="1"/>
  <c r="CQ219"/>
  <c r="CS219" s="1"/>
  <c r="CS297"/>
  <c r="CU297" s="1"/>
  <c r="CT294"/>
  <c r="CV294" s="1"/>
  <c r="CS291"/>
  <c r="CU291" s="1"/>
  <c r="CS258"/>
  <c r="CU258" s="1"/>
  <c r="CS255"/>
  <c r="CU255" s="1"/>
  <c r="CT250"/>
  <c r="CV250" s="1"/>
  <c r="CS247"/>
  <c r="CU247" s="1"/>
  <c r="CS245"/>
  <c r="CU245" s="1"/>
  <c r="CT242"/>
  <c r="CV242" s="1"/>
  <c r="CS237"/>
  <c r="CU237" s="1"/>
  <c r="CT227"/>
  <c r="CV227" s="1"/>
  <c r="CT220"/>
  <c r="CV220" s="1"/>
  <c r="CS212"/>
  <c r="CU212" s="1"/>
  <c r="CS208"/>
  <c r="CU208" s="1"/>
  <c r="CS190"/>
  <c r="CU190" s="1"/>
  <c r="CS182"/>
  <c r="CU182" s="1"/>
  <c r="CT176"/>
  <c r="CV176" s="1"/>
  <c r="CT173"/>
  <c r="CV173" s="1"/>
  <c r="CS158"/>
  <c r="CU158" s="1"/>
  <c r="CS155"/>
  <c r="CU155" s="1"/>
  <c r="CS153"/>
  <c r="CU153" s="1"/>
  <c r="CS151"/>
  <c r="CU151" s="1"/>
  <c r="CS149"/>
  <c r="CU149" s="1"/>
  <c r="CS298"/>
  <c r="CU298" s="1"/>
  <c r="CQ5"/>
  <c r="CQ266"/>
  <c r="CQ300"/>
  <c r="CS300" s="1"/>
  <c r="CS295"/>
  <c r="CU295" s="1"/>
  <c r="CT295"/>
  <c r="CV295" s="1"/>
  <c r="CT291"/>
  <c r="CV291" s="1"/>
  <c r="CT258"/>
  <c r="CV258" s="1"/>
  <c r="CT255"/>
  <c r="CV255" s="1"/>
  <c r="CT251"/>
  <c r="CV251" s="1"/>
  <c r="CT247"/>
  <c r="CV247" s="1"/>
  <c r="CT245"/>
  <c r="CV245" s="1"/>
  <c r="CS243"/>
  <c r="CU243" s="1"/>
  <c r="CT237"/>
  <c r="CV237" s="1"/>
  <c r="CS234"/>
  <c r="CU234" s="1"/>
  <c r="CT212"/>
  <c r="CV212" s="1"/>
  <c r="CT190"/>
  <c r="CV190" s="1"/>
  <c r="CS188"/>
  <c r="CT182"/>
  <c r="CV182" s="1"/>
  <c r="CT180"/>
  <c r="CV180" s="1"/>
  <c r="CS172"/>
  <c r="CU172" s="1"/>
  <c r="CS167"/>
  <c r="CU167" s="1"/>
  <c r="CS165"/>
  <c r="CU165" s="1"/>
  <c r="CQ160"/>
  <c r="CT155"/>
  <c r="CV155" s="1"/>
  <c r="CT153"/>
  <c r="CV153" s="1"/>
  <c r="CT151"/>
  <c r="CV151" s="1"/>
  <c r="CT149"/>
  <c r="CV149" s="1"/>
  <c r="CS147"/>
  <c r="CS180"/>
  <c r="CU180" s="1"/>
  <c r="CT297"/>
  <c r="CV297" s="1"/>
  <c r="CT292"/>
  <c r="CV292" s="1"/>
  <c r="CS259"/>
  <c r="CU259" s="1"/>
  <c r="CS252"/>
  <c r="CU252" s="1"/>
  <c r="CS246"/>
  <c r="CU246" s="1"/>
  <c r="CT243"/>
  <c r="CV243" s="1"/>
  <c r="CT234"/>
  <c r="CV234" s="1"/>
  <c r="CT219"/>
  <c r="CV219" s="1"/>
  <c r="CS216"/>
  <c r="CU216" s="1"/>
  <c r="CS214"/>
  <c r="CU214" s="1"/>
  <c r="CS211"/>
  <c r="CU211" s="1"/>
  <c r="CS206"/>
  <c r="CU206" s="1"/>
  <c r="CS192"/>
  <c r="CU192" s="1"/>
  <c r="CS189"/>
  <c r="CU189" s="1"/>
  <c r="CS183"/>
  <c r="CU183" s="1"/>
  <c r="CT172"/>
  <c r="CV172" s="1"/>
  <c r="CT167"/>
  <c r="CV167" s="1"/>
  <c r="CT165"/>
  <c r="CV165" s="1"/>
  <c r="CS154"/>
  <c r="CU154" s="1"/>
  <c r="CS152"/>
  <c r="CU152" s="1"/>
  <c r="CS150"/>
  <c r="CU150" s="1"/>
  <c r="CS148"/>
  <c r="CU148" s="1"/>
  <c r="CS264"/>
  <c r="CU264" s="1"/>
  <c r="DM264" s="1"/>
  <c r="CT259"/>
  <c r="CV259" s="1"/>
  <c r="CT252"/>
  <c r="CV252" s="1"/>
  <c r="CT246"/>
  <c r="CV246" s="1"/>
  <c r="CS227"/>
  <c r="CU227" s="1"/>
  <c r="CT216"/>
  <c r="CV216" s="1"/>
  <c r="CT214"/>
  <c r="CV214" s="1"/>
  <c r="CT211"/>
  <c r="CV211" s="1"/>
  <c r="CT192"/>
  <c r="CV192" s="1"/>
  <c r="CT189"/>
  <c r="CV189" s="1"/>
  <c r="CT183"/>
  <c r="CV183" s="1"/>
  <c r="CS176"/>
  <c r="CU176" s="1"/>
  <c r="CS173"/>
  <c r="CU173" s="1"/>
  <c r="CS163"/>
  <c r="CU163" s="1"/>
  <c r="CT154"/>
  <c r="CV154" s="1"/>
  <c r="CT152"/>
  <c r="CV152" s="1"/>
  <c r="CT150"/>
  <c r="CV150" s="1"/>
  <c r="CT148"/>
  <c r="CV148" s="1"/>
  <c r="CS84"/>
  <c r="CU84" s="1"/>
  <c r="CT118"/>
  <c r="CV118" s="1"/>
  <c r="CQ139"/>
  <c r="CT128"/>
  <c r="CT121"/>
  <c r="CV121" s="1"/>
  <c r="CS106"/>
  <c r="CS94"/>
  <c r="CT86"/>
  <c r="CV86" s="1"/>
  <c r="CQ142"/>
  <c r="CR139"/>
  <c r="CS129"/>
  <c r="CS126"/>
  <c r="CU126" s="1"/>
  <c r="CT106"/>
  <c r="CT94"/>
  <c r="CQ164"/>
  <c r="CR142"/>
  <c r="CT129"/>
  <c r="CT126"/>
  <c r="CS100"/>
  <c r="CS95"/>
  <c r="CT84"/>
  <c r="CT138"/>
  <c r="CS128"/>
  <c r="CU128" s="1"/>
  <c r="CS121"/>
  <c r="CQ107"/>
  <c r="CT100"/>
  <c r="CS86"/>
  <c r="CU86" s="1"/>
  <c r="CT70"/>
  <c r="CV95"/>
  <c r="CT30"/>
  <c r="CT33" s="1"/>
  <c r="CQ7"/>
  <c r="CS5"/>
  <c r="CS7" s="1"/>
  <c r="CS34"/>
  <c r="CS36" s="1"/>
  <c r="CT115"/>
  <c r="CT117" s="1"/>
  <c r="CS266"/>
  <c r="CR156"/>
  <c r="CT147"/>
  <c r="CT99"/>
  <c r="CT101" s="1"/>
  <c r="CT254"/>
  <c r="CT256" s="1"/>
  <c r="CT72"/>
  <c r="CT75" s="1"/>
  <c r="CQ146"/>
  <c r="CS143"/>
  <c r="CS146" s="1"/>
  <c r="CS82"/>
  <c r="CT63"/>
  <c r="CT65" s="1"/>
  <c r="CT60"/>
  <c r="CT62" s="1"/>
  <c r="CT11"/>
  <c r="CT13" s="1"/>
  <c r="CT181"/>
  <c r="CT184" s="1"/>
  <c r="CR184"/>
  <c r="CT171"/>
  <c r="CR174"/>
  <c r="CT166"/>
  <c r="CT168" s="1"/>
  <c r="CR168"/>
  <c r="CT123"/>
  <c r="CT125" s="1"/>
  <c r="CT57"/>
  <c r="CT59" s="1"/>
  <c r="CQ231"/>
  <c r="CQ240" s="1"/>
  <c r="CR188"/>
  <c r="CR191" s="1"/>
  <c r="CR122"/>
  <c r="CR80"/>
  <c r="CR46"/>
  <c r="CR49" s="1"/>
  <c r="CR17"/>
  <c r="CR24" s="1"/>
  <c r="CR26" s="1"/>
  <c r="CR14"/>
  <c r="CR16" s="1"/>
  <c r="CT309"/>
  <c r="CS267"/>
  <c r="CT257"/>
  <c r="CT260" s="1"/>
  <c r="CT249"/>
  <c r="CT226"/>
  <c r="CT228" s="1"/>
  <c r="CS207"/>
  <c r="CS186"/>
  <c r="CS177"/>
  <c r="CS162"/>
  <c r="CU162" s="1"/>
  <c r="CS140"/>
  <c r="CS137"/>
  <c r="CT120"/>
  <c r="CV120" s="1"/>
  <c r="CT92"/>
  <c r="CT93" s="1"/>
  <c r="CT54"/>
  <c r="CQ302"/>
  <c r="CS302" s="1"/>
  <c r="CQ293"/>
  <c r="CS293" s="1"/>
  <c r="CR236"/>
  <c r="CR238" s="1"/>
  <c r="CR233"/>
  <c r="CR235" s="1"/>
  <c r="CR229"/>
  <c r="CT229" s="1"/>
  <c r="CQ133"/>
  <c r="CS133" s="1"/>
  <c r="CQ127"/>
  <c r="CS127" s="1"/>
  <c r="CQ90"/>
  <c r="CS90" s="1"/>
  <c r="CQ64"/>
  <c r="CQ65" s="1"/>
  <c r="CU58"/>
  <c r="CQ15"/>
  <c r="CS15" s="1"/>
  <c r="CT289"/>
  <c r="CT290" s="1"/>
  <c r="CT267"/>
  <c r="CT269" s="1"/>
  <c r="CS261"/>
  <c r="CS241"/>
  <c r="CS224"/>
  <c r="CS225" s="1"/>
  <c r="CT140"/>
  <c r="CT142" s="1"/>
  <c r="CT137"/>
  <c r="CS111"/>
  <c r="CS108"/>
  <c r="CS105"/>
  <c r="CS102"/>
  <c r="CS99"/>
  <c r="CS96"/>
  <c r="CS91"/>
  <c r="CS93" s="1"/>
  <c r="CT69"/>
  <c r="CS55"/>
  <c r="CS14"/>
  <c r="CS16" s="1"/>
  <c r="CT261"/>
  <c r="CT199"/>
  <c r="CT205" s="1"/>
  <c r="CT177"/>
  <c r="CR179"/>
  <c r="CT162"/>
  <c r="CR164"/>
  <c r="CT143"/>
  <c r="CT146" s="1"/>
  <c r="CR146"/>
  <c r="CT53"/>
  <c r="CQ268"/>
  <c r="CQ269" s="1"/>
  <c r="CR241"/>
  <c r="CR248" s="1"/>
  <c r="CQ210"/>
  <c r="CQ213" s="1"/>
  <c r="CR206"/>
  <c r="CR197"/>
  <c r="CT197" s="1"/>
  <c r="CR186"/>
  <c r="CR187" s="1"/>
  <c r="CR160"/>
  <c r="CR108"/>
  <c r="CR110" s="1"/>
  <c r="CR105"/>
  <c r="CR107" s="1"/>
  <c r="CR102"/>
  <c r="CR104" s="1"/>
  <c r="CR96"/>
  <c r="CR98" s="1"/>
  <c r="CR90"/>
  <c r="CT90" s="1"/>
  <c r="CR76"/>
  <c r="CR79" s="1"/>
  <c r="CV67"/>
  <c r="CV64"/>
  <c r="CR50"/>
  <c r="CR52" s="1"/>
  <c r="CR45"/>
  <c r="CT45" s="1"/>
  <c r="CR34"/>
  <c r="CR36" s="1"/>
  <c r="CT307"/>
  <c r="CT308" s="1"/>
  <c r="CS272"/>
  <c r="CT224"/>
  <c r="CT225" s="1"/>
  <c r="CS218"/>
  <c r="CS221" s="1"/>
  <c r="CT208"/>
  <c r="CT193"/>
  <c r="CT195" s="1"/>
  <c r="CS159"/>
  <c r="CU159" s="1"/>
  <c r="CT111"/>
  <c r="CT113" s="1"/>
  <c r="CT88"/>
  <c r="CT66"/>
  <c r="CT68" s="1"/>
  <c r="CT55"/>
  <c r="CS53"/>
  <c r="CS50"/>
  <c r="CS47"/>
  <c r="CS45"/>
  <c r="CS40"/>
  <c r="CS37"/>
  <c r="CS39" s="1"/>
  <c r="CL256"/>
  <c r="CT218"/>
  <c r="CT215"/>
  <c r="CU63"/>
  <c r="CM310"/>
  <c r="CR5"/>
  <c r="CQ301"/>
  <c r="CS301" s="1"/>
  <c r="CQ299"/>
  <c r="CQ296"/>
  <c r="CQ294"/>
  <c r="CQ292"/>
  <c r="CR266"/>
  <c r="CR271" s="1"/>
  <c r="CQ263"/>
  <c r="CQ265" s="1"/>
  <c r="CQ254"/>
  <c r="CQ256" s="1"/>
  <c r="CQ251"/>
  <c r="CQ253" s="1"/>
  <c r="CQ244"/>
  <c r="CS244" s="1"/>
  <c r="CQ242"/>
  <c r="CR232"/>
  <c r="CT232" s="1"/>
  <c r="CR230"/>
  <c r="CT230" s="1"/>
  <c r="CR210"/>
  <c r="CR213" s="1"/>
  <c r="CR223" s="1"/>
  <c r="CQ196"/>
  <c r="CS196" s="1"/>
  <c r="CQ184"/>
  <c r="CQ174"/>
  <c r="CQ168"/>
  <c r="CQ156"/>
  <c r="CQ122"/>
  <c r="CQ118"/>
  <c r="CQ112"/>
  <c r="CS112" s="1"/>
  <c r="CQ109"/>
  <c r="CQ110" s="1"/>
  <c r="CQ97"/>
  <c r="CS97" s="1"/>
  <c r="CQ83"/>
  <c r="CQ85" s="1"/>
  <c r="CQ82"/>
  <c r="CQ69"/>
  <c r="CQ71" s="1"/>
  <c r="CQ60"/>
  <c r="CQ51"/>
  <c r="CS51" s="1"/>
  <c r="CU48"/>
  <c r="CQ46"/>
  <c r="CQ49" s="1"/>
  <c r="CQ41"/>
  <c r="CS41" s="1"/>
  <c r="CQ32"/>
  <c r="CS32" s="1"/>
  <c r="CQ11"/>
  <c r="CQ13" s="1"/>
  <c r="CQ8"/>
  <c r="CQ10" s="1"/>
  <c r="CT287"/>
  <c r="CT263"/>
  <c r="CS257"/>
  <c r="CS249"/>
  <c r="CS239"/>
  <c r="CS236"/>
  <c r="CS233"/>
  <c r="CS235" s="1"/>
  <c r="CS226"/>
  <c r="CS228" s="1"/>
  <c r="CS222"/>
  <c r="CS215"/>
  <c r="CS199"/>
  <c r="CS205" s="1"/>
  <c r="CS181"/>
  <c r="CS184" s="1"/>
  <c r="CS171"/>
  <c r="CU171" s="1"/>
  <c r="CS166"/>
  <c r="CT159"/>
  <c r="CT132"/>
  <c r="CT134" s="1"/>
  <c r="CS123"/>
  <c r="CS125" s="1"/>
  <c r="CS120"/>
  <c r="CU120" s="1"/>
  <c r="CS115"/>
  <c r="CS117" s="1"/>
  <c r="CT83"/>
  <c r="CS67"/>
  <c r="CS57"/>
  <c r="CS54"/>
  <c r="CT40"/>
  <c r="CT43" s="1"/>
  <c r="CT37"/>
  <c r="CT39" s="1"/>
  <c r="CT179"/>
  <c r="CL248"/>
  <c r="CI213"/>
  <c r="CJ213"/>
  <c r="CK213"/>
  <c r="CL213"/>
  <c r="CI209"/>
  <c r="CJ209"/>
  <c r="CK209"/>
  <c r="CL209"/>
  <c r="CI205"/>
  <c r="CJ205"/>
  <c r="CK205"/>
  <c r="CL205"/>
  <c r="CI195"/>
  <c r="CJ195"/>
  <c r="CK195"/>
  <c r="CI187"/>
  <c r="CJ187"/>
  <c r="CK187"/>
  <c r="CL187"/>
  <c r="CC139"/>
  <c r="CD139"/>
  <c r="CE139"/>
  <c r="CF139"/>
  <c r="CI139"/>
  <c r="CJ139"/>
  <c r="CK139"/>
  <c r="CL139"/>
  <c r="CC142"/>
  <c r="CD142"/>
  <c r="CE142"/>
  <c r="CF142"/>
  <c r="CI142"/>
  <c r="CJ142"/>
  <c r="CK142"/>
  <c r="CL142"/>
  <c r="CD146"/>
  <c r="CE146"/>
  <c r="CF146"/>
  <c r="CI146"/>
  <c r="CJ146"/>
  <c r="CK146"/>
  <c r="CL146"/>
  <c r="CC156"/>
  <c r="CD156"/>
  <c r="CE156"/>
  <c r="CF156"/>
  <c r="CI156"/>
  <c r="CJ156"/>
  <c r="CK156"/>
  <c r="CL156"/>
  <c r="CC160"/>
  <c r="CD160"/>
  <c r="CE160"/>
  <c r="CF160"/>
  <c r="CI160"/>
  <c r="CJ160"/>
  <c r="CK160"/>
  <c r="CL160"/>
  <c r="CA164"/>
  <c r="CB164"/>
  <c r="CC164"/>
  <c r="CD164"/>
  <c r="CE164"/>
  <c r="CF164"/>
  <c r="CI164"/>
  <c r="CJ164"/>
  <c r="CK164"/>
  <c r="CI168"/>
  <c r="CJ168"/>
  <c r="CK168"/>
  <c r="CI174"/>
  <c r="CJ174"/>
  <c r="CK174"/>
  <c r="CF179"/>
  <c r="CF184"/>
  <c r="CF187"/>
  <c r="CF191"/>
  <c r="CF195"/>
  <c r="CF205"/>
  <c r="CF209"/>
  <c r="CF213"/>
  <c r="CF217"/>
  <c r="CF221"/>
  <c r="CF225"/>
  <c r="CF228"/>
  <c r="CF238"/>
  <c r="CF248"/>
  <c r="CF253"/>
  <c r="CF256"/>
  <c r="CF260"/>
  <c r="CF265"/>
  <c r="CF269"/>
  <c r="CF271" s="1"/>
  <c r="CF286"/>
  <c r="CF288" s="1"/>
  <c r="CF290"/>
  <c r="CF308"/>
  <c r="CI39"/>
  <c r="CJ39"/>
  <c r="CK39"/>
  <c r="CL39"/>
  <c r="CI36"/>
  <c r="CJ36"/>
  <c r="CK36"/>
  <c r="CL36"/>
  <c r="CI33"/>
  <c r="CJ33"/>
  <c r="CK33"/>
  <c r="CI29"/>
  <c r="CJ29"/>
  <c r="CK29"/>
  <c r="CI24"/>
  <c r="CI26" s="1"/>
  <c r="CJ24"/>
  <c r="CJ26" s="1"/>
  <c r="CK24"/>
  <c r="CL24"/>
  <c r="CL26" s="1"/>
  <c r="CI16"/>
  <c r="CJ16"/>
  <c r="CK16"/>
  <c r="CL16"/>
  <c r="CI13"/>
  <c r="CJ13"/>
  <c r="CK13"/>
  <c r="CL13"/>
  <c r="CI10"/>
  <c r="CJ10"/>
  <c r="CK10"/>
  <c r="CL10"/>
  <c r="CF13"/>
  <c r="CF16"/>
  <c r="CF24"/>
  <c r="CF26" s="1"/>
  <c r="CF29"/>
  <c r="CF33"/>
  <c r="CF36"/>
  <c r="CF39"/>
  <c r="CF43"/>
  <c r="CF49"/>
  <c r="CF52"/>
  <c r="CF56"/>
  <c r="CF59"/>
  <c r="CF62"/>
  <c r="CF65"/>
  <c r="CF68"/>
  <c r="CF71"/>
  <c r="CF75"/>
  <c r="CF79"/>
  <c r="CF82"/>
  <c r="CF85"/>
  <c r="CF93"/>
  <c r="CF98"/>
  <c r="CF101"/>
  <c r="CF104"/>
  <c r="CF107"/>
  <c r="CF110"/>
  <c r="CF113"/>
  <c r="CF117"/>
  <c r="CF122"/>
  <c r="CF125"/>
  <c r="CF134"/>
  <c r="CF168"/>
  <c r="CF174"/>
  <c r="CI7"/>
  <c r="CJ7"/>
  <c r="CK7"/>
  <c r="CL7"/>
  <c r="CP7"/>
  <c r="CI179"/>
  <c r="CJ179"/>
  <c r="CK179"/>
  <c r="CI117"/>
  <c r="CJ117"/>
  <c r="CK117"/>
  <c r="CI113"/>
  <c r="CJ113"/>
  <c r="CK113"/>
  <c r="CI68"/>
  <c r="CJ68"/>
  <c r="CK68"/>
  <c r="CI49"/>
  <c r="CJ49"/>
  <c r="CK49"/>
  <c r="CL49"/>
  <c r="CI43"/>
  <c r="CJ43"/>
  <c r="CK43"/>
  <c r="CL43"/>
  <c r="DN11" l="1"/>
  <c r="DL229"/>
  <c r="DM112"/>
  <c r="DK293"/>
  <c r="DN44"/>
  <c r="DK244"/>
  <c r="DK90"/>
  <c r="DL232"/>
  <c r="DK300"/>
  <c r="DL230"/>
  <c r="DN179"/>
  <c r="DL179"/>
  <c r="DL72"/>
  <c r="DM11"/>
  <c r="DK301"/>
  <c r="DN197"/>
  <c r="DN229"/>
  <c r="DK112"/>
  <c r="DM293"/>
  <c r="DL44"/>
  <c r="DM244"/>
  <c r="DM90"/>
  <c r="DN232"/>
  <c r="DM300"/>
  <c r="DN230"/>
  <c r="DN72"/>
  <c r="DK11"/>
  <c r="DK13" s="1"/>
  <c r="DM301"/>
  <c r="DL197"/>
  <c r="DN196"/>
  <c r="DL90"/>
  <c r="DM15"/>
  <c r="DN5"/>
  <c r="DL45"/>
  <c r="DM127"/>
  <c r="DM196"/>
  <c r="DM266"/>
  <c r="DH165"/>
  <c r="DL11"/>
  <c r="DL13" s="1"/>
  <c r="DL196"/>
  <c r="DN90"/>
  <c r="DK15"/>
  <c r="DK16" s="1"/>
  <c r="DL5"/>
  <c r="DL7" s="1"/>
  <c r="DN45"/>
  <c r="DK127"/>
  <c r="DK196"/>
  <c r="DK266"/>
  <c r="DG58"/>
  <c r="DH120"/>
  <c r="DH95"/>
  <c r="DH121"/>
  <c r="DG84"/>
  <c r="DH154"/>
  <c r="DH183"/>
  <c r="DH214"/>
  <c r="DH252"/>
  <c r="DG150"/>
  <c r="DG192"/>
  <c r="DG216"/>
  <c r="DG246"/>
  <c r="DH297"/>
  <c r="DH151"/>
  <c r="DG165"/>
  <c r="DG234"/>
  <c r="DH247"/>
  <c r="DH291"/>
  <c r="DG151"/>
  <c r="DH173"/>
  <c r="DG208"/>
  <c r="DG237"/>
  <c r="DH250"/>
  <c r="DH294"/>
  <c r="CR256"/>
  <c r="CR262" s="1"/>
  <c r="CV254"/>
  <c r="DN254" s="1"/>
  <c r="CT156"/>
  <c r="DG120"/>
  <c r="DH118"/>
  <c r="DH152"/>
  <c r="DG176"/>
  <c r="DH246"/>
  <c r="DG148"/>
  <c r="DG189"/>
  <c r="DG214"/>
  <c r="DH243"/>
  <c r="DH292"/>
  <c r="DH149"/>
  <c r="DH212"/>
  <c r="DH245"/>
  <c r="DH258"/>
  <c r="DG149"/>
  <c r="DG158"/>
  <c r="DG190"/>
  <c r="DG247"/>
  <c r="DG291"/>
  <c r="DG250"/>
  <c r="DG48"/>
  <c r="DH64"/>
  <c r="DG128"/>
  <c r="DH150"/>
  <c r="DG173"/>
  <c r="DH192"/>
  <c r="DG154"/>
  <c r="DG183"/>
  <c r="DH234"/>
  <c r="DG259"/>
  <c r="DH155"/>
  <c r="DG172"/>
  <c r="DH190"/>
  <c r="DG243"/>
  <c r="DH255"/>
  <c r="DG295"/>
  <c r="DG298"/>
  <c r="DG155"/>
  <c r="DH220"/>
  <c r="DG245"/>
  <c r="DG258"/>
  <c r="DJ198"/>
  <c r="DB26"/>
  <c r="DG126"/>
  <c r="DH148"/>
  <c r="DG163"/>
  <c r="DH189"/>
  <c r="DH216"/>
  <c r="DH259"/>
  <c r="DG152"/>
  <c r="DH172"/>
  <c r="DG206"/>
  <c r="DH219"/>
  <c r="DG252"/>
  <c r="DG180"/>
  <c r="DH153"/>
  <c r="DH237"/>
  <c r="DH251"/>
  <c r="DH295"/>
  <c r="DG153"/>
  <c r="DH176"/>
  <c r="DG212"/>
  <c r="DG255"/>
  <c r="DG297"/>
  <c r="DJ127"/>
  <c r="CQ248"/>
  <c r="DG171"/>
  <c r="CU174"/>
  <c r="CV218"/>
  <c r="CT221"/>
  <c r="DG159"/>
  <c r="CU160"/>
  <c r="CV69"/>
  <c r="CT71"/>
  <c r="CU102"/>
  <c r="CS104"/>
  <c r="CV137"/>
  <c r="CT139"/>
  <c r="CU261"/>
  <c r="DH122"/>
  <c r="CV249"/>
  <c r="CT253"/>
  <c r="CV171"/>
  <c r="CT174"/>
  <c r="DH167"/>
  <c r="CV168"/>
  <c r="DH182"/>
  <c r="CV184"/>
  <c r="DI32"/>
  <c r="DE33"/>
  <c r="DF16"/>
  <c r="DJ14"/>
  <c r="DE146"/>
  <c r="DI143"/>
  <c r="DB110"/>
  <c r="DF108"/>
  <c r="DJ108" s="1"/>
  <c r="DI210"/>
  <c r="CQ262"/>
  <c r="CR135"/>
  <c r="CQ271"/>
  <c r="CS68"/>
  <c r="CS134"/>
  <c r="CU57"/>
  <c r="CS59"/>
  <c r="CU215"/>
  <c r="CS217"/>
  <c r="CU236"/>
  <c r="CS238"/>
  <c r="CV263"/>
  <c r="CT265"/>
  <c r="CV215"/>
  <c r="CT217"/>
  <c r="DH67"/>
  <c r="CV68"/>
  <c r="CU99"/>
  <c r="CS101"/>
  <c r="DG162"/>
  <c r="CU164"/>
  <c r="DH211"/>
  <c r="CV213"/>
  <c r="CX180"/>
  <c r="DB180" s="1"/>
  <c r="DH180"/>
  <c r="DH227"/>
  <c r="CV228"/>
  <c r="CW138"/>
  <c r="DA138" s="1"/>
  <c r="DG138"/>
  <c r="DI116"/>
  <c r="DE117"/>
  <c r="DJ210"/>
  <c r="DB33"/>
  <c r="DF30"/>
  <c r="DJ30" s="1"/>
  <c r="DE16"/>
  <c r="DI133"/>
  <c r="DE134"/>
  <c r="DE10"/>
  <c r="DI8"/>
  <c r="DF36"/>
  <c r="DJ34"/>
  <c r="CS43"/>
  <c r="CS56"/>
  <c r="CS113"/>
  <c r="CR240"/>
  <c r="CQ113"/>
  <c r="CQ98"/>
  <c r="CQ134"/>
  <c r="CQ52"/>
  <c r="CP89"/>
  <c r="CP310" s="1"/>
  <c r="CV159"/>
  <c r="CT160"/>
  <c r="CU257"/>
  <c r="CS260"/>
  <c r="DG63"/>
  <c r="CV208"/>
  <c r="CT209"/>
  <c r="CU96"/>
  <c r="CS98"/>
  <c r="CU108"/>
  <c r="CU207"/>
  <c r="CS209"/>
  <c r="CU267"/>
  <c r="DG86"/>
  <c r="DG227"/>
  <c r="CU228"/>
  <c r="DG211"/>
  <c r="CU213"/>
  <c r="CU147"/>
  <c r="CS156"/>
  <c r="DG182"/>
  <c r="CU184"/>
  <c r="CX158"/>
  <c r="DB158" s="1"/>
  <c r="DH158"/>
  <c r="DB298"/>
  <c r="DA7"/>
  <c r="DE5"/>
  <c r="DB117"/>
  <c r="DF115"/>
  <c r="DJ115" s="1"/>
  <c r="DI51"/>
  <c r="DE52"/>
  <c r="DI219"/>
  <c r="DE221"/>
  <c r="DF296"/>
  <c r="DJ296" s="1"/>
  <c r="DB98"/>
  <c r="DF96"/>
  <c r="DF98" s="1"/>
  <c r="DF13"/>
  <c r="CX272"/>
  <c r="DH272"/>
  <c r="CV286"/>
  <c r="DF49"/>
  <c r="DJ46"/>
  <c r="CS52"/>
  <c r="CS33"/>
  <c r="CV308"/>
  <c r="CV83"/>
  <c r="CT85"/>
  <c r="CU249"/>
  <c r="CU272"/>
  <c r="CS286"/>
  <c r="CS288" s="1"/>
  <c r="CT56"/>
  <c r="CV261"/>
  <c r="CU105"/>
  <c r="CS107"/>
  <c r="CU137"/>
  <c r="CS139"/>
  <c r="CU186"/>
  <c r="CS187"/>
  <c r="DH86"/>
  <c r="DG167"/>
  <c r="CU168"/>
  <c r="CU188"/>
  <c r="CS191"/>
  <c r="DH242"/>
  <c r="CV248"/>
  <c r="DJ241"/>
  <c r="DB52"/>
  <c r="DF50"/>
  <c r="DE97"/>
  <c r="DA98"/>
  <c r="DF75"/>
  <c r="DB62"/>
  <c r="DF60"/>
  <c r="DJ60" s="1"/>
  <c r="DI41"/>
  <c r="DE43"/>
  <c r="DE13"/>
  <c r="DF79"/>
  <c r="DJ76"/>
  <c r="DE113"/>
  <c r="DI302"/>
  <c r="DF7"/>
  <c r="DF24"/>
  <c r="DF26" s="1"/>
  <c r="DJ17"/>
  <c r="DF82"/>
  <c r="DJ80"/>
  <c r="CQ117"/>
  <c r="CQ33"/>
  <c r="CQ16"/>
  <c r="CQ221"/>
  <c r="CQ223" s="1"/>
  <c r="CQ43"/>
  <c r="CQ308"/>
  <c r="CT288"/>
  <c r="CR185"/>
  <c r="CQ185"/>
  <c r="CX95"/>
  <c r="DB95" s="1"/>
  <c r="CU233"/>
  <c r="CT2"/>
  <c r="CW298"/>
  <c r="DA298" s="1"/>
  <c r="CT231"/>
  <c r="CV231" s="1"/>
  <c r="CX148"/>
  <c r="DB148" s="1"/>
  <c r="CX259"/>
  <c r="DB259" s="1"/>
  <c r="CX167"/>
  <c r="CX227"/>
  <c r="CX152"/>
  <c r="DB152" s="1"/>
  <c r="CX189"/>
  <c r="CX211"/>
  <c r="CX234"/>
  <c r="DB234" s="1"/>
  <c r="CX216"/>
  <c r="DB216" s="1"/>
  <c r="CX173"/>
  <c r="DB173" s="1"/>
  <c r="CX246"/>
  <c r="DB246" s="1"/>
  <c r="CX297"/>
  <c r="DB297" s="1"/>
  <c r="CS69"/>
  <c r="CX215"/>
  <c r="CX208"/>
  <c r="CX150"/>
  <c r="DB150" s="1"/>
  <c r="CX154"/>
  <c r="DB154" s="1"/>
  <c r="CX183"/>
  <c r="DB183" s="1"/>
  <c r="CX214"/>
  <c r="DB214" s="1"/>
  <c r="CX252"/>
  <c r="DB252" s="1"/>
  <c r="CX292"/>
  <c r="DB292" s="1"/>
  <c r="CX149"/>
  <c r="DB149" s="1"/>
  <c r="CX190"/>
  <c r="DB190" s="1"/>
  <c r="CX237"/>
  <c r="DB237" s="1"/>
  <c r="CX251"/>
  <c r="DB251" s="1"/>
  <c r="CX291"/>
  <c r="DB291" s="1"/>
  <c r="CX220"/>
  <c r="DB220" s="1"/>
  <c r="CX242"/>
  <c r="CX86"/>
  <c r="CX121"/>
  <c r="DB121" s="1"/>
  <c r="CX118"/>
  <c r="DB118" s="1"/>
  <c r="CX192"/>
  <c r="DB192" s="1"/>
  <c r="CX165"/>
  <c r="DB165" s="1"/>
  <c r="CX172"/>
  <c r="DB172" s="1"/>
  <c r="CX219"/>
  <c r="CX243"/>
  <c r="DB243" s="1"/>
  <c r="CX155"/>
  <c r="DB155" s="1"/>
  <c r="CX247"/>
  <c r="DB247" s="1"/>
  <c r="CX176"/>
  <c r="DB176" s="1"/>
  <c r="DL176" s="1"/>
  <c r="CX294"/>
  <c r="DB294" s="1"/>
  <c r="CX67"/>
  <c r="CX153"/>
  <c r="DB153" s="1"/>
  <c r="CX182"/>
  <c r="CX212"/>
  <c r="DB212" s="1"/>
  <c r="CX245"/>
  <c r="DB245" s="1"/>
  <c r="CX258"/>
  <c r="DB258" s="1"/>
  <c r="CX83"/>
  <c r="CX64"/>
  <c r="DB64" s="1"/>
  <c r="CX261"/>
  <c r="CV122"/>
  <c r="CX120"/>
  <c r="DB120" s="1"/>
  <c r="CX151"/>
  <c r="DB151" s="1"/>
  <c r="CX255"/>
  <c r="DB255" s="1"/>
  <c r="CX295"/>
  <c r="DB295" s="1"/>
  <c r="CX250"/>
  <c r="CW57"/>
  <c r="CW215"/>
  <c r="CW236"/>
  <c r="CW207"/>
  <c r="CW267"/>
  <c r="CW167"/>
  <c r="CW295"/>
  <c r="DA295" s="1"/>
  <c r="CW158"/>
  <c r="DA158" s="1"/>
  <c r="CW258"/>
  <c r="DA258" s="1"/>
  <c r="CW233"/>
  <c r="CW257"/>
  <c r="CW159"/>
  <c r="CW137"/>
  <c r="CW186"/>
  <c r="CW165"/>
  <c r="DA165" s="1"/>
  <c r="CW243"/>
  <c r="DA243" s="1"/>
  <c r="CW237"/>
  <c r="DA237" s="1"/>
  <c r="CW149"/>
  <c r="DA149" s="1"/>
  <c r="CW245"/>
  <c r="DA245" s="1"/>
  <c r="CW250"/>
  <c r="DA250" s="1"/>
  <c r="CW171"/>
  <c r="CW261"/>
  <c r="CW162"/>
  <c r="CW147"/>
  <c r="CW172"/>
  <c r="DA172" s="1"/>
  <c r="CW234"/>
  <c r="DA234" s="1"/>
  <c r="CW153"/>
  <c r="DA153" s="1"/>
  <c r="CW208"/>
  <c r="DA208" s="1"/>
  <c r="CS242"/>
  <c r="CU242" s="1"/>
  <c r="CS292"/>
  <c r="CU292" s="1"/>
  <c r="CT206"/>
  <c r="CV206" s="1"/>
  <c r="CS268"/>
  <c r="CU268" s="1"/>
  <c r="CW102"/>
  <c r="CW84"/>
  <c r="DA84" s="1"/>
  <c r="CW173"/>
  <c r="DA173" s="1"/>
  <c r="CW148"/>
  <c r="DA148" s="1"/>
  <c r="CW152"/>
  <c r="DA152" s="1"/>
  <c r="CW189"/>
  <c r="DA189" s="1"/>
  <c r="CW206"/>
  <c r="DA206" s="1"/>
  <c r="CW214"/>
  <c r="DA214" s="1"/>
  <c r="CW252"/>
  <c r="DA252" s="1"/>
  <c r="CS251"/>
  <c r="CU251" s="1"/>
  <c r="CS299"/>
  <c r="CU299" s="1"/>
  <c r="CW99"/>
  <c r="CW128"/>
  <c r="DA128" s="1"/>
  <c r="CW151"/>
  <c r="DA151" s="1"/>
  <c r="CW155"/>
  <c r="DA155" s="1"/>
  <c r="CW182"/>
  <c r="CW190"/>
  <c r="DA190" s="1"/>
  <c r="CW212"/>
  <c r="DA212" s="1"/>
  <c r="CW247"/>
  <c r="DA247" s="1"/>
  <c r="CW255"/>
  <c r="DA255" s="1"/>
  <c r="CW291"/>
  <c r="DA291" s="1"/>
  <c r="CW297"/>
  <c r="DA297" s="1"/>
  <c r="CW48"/>
  <c r="DA48" s="1"/>
  <c r="CS296"/>
  <c r="CU296" s="1"/>
  <c r="CW63"/>
  <c r="CW108"/>
  <c r="CS231"/>
  <c r="CU231" s="1"/>
  <c r="CW86"/>
  <c r="CW126"/>
  <c r="DA126" s="1"/>
  <c r="CW163"/>
  <c r="DA163" s="1"/>
  <c r="CW176"/>
  <c r="DA176" s="1"/>
  <c r="CW227"/>
  <c r="CW264"/>
  <c r="CW150"/>
  <c r="DA150" s="1"/>
  <c r="CW154"/>
  <c r="DA154" s="1"/>
  <c r="CW183"/>
  <c r="DA183" s="1"/>
  <c r="CW192"/>
  <c r="DA192" s="1"/>
  <c r="CW211"/>
  <c r="CW216"/>
  <c r="DA216" s="1"/>
  <c r="CW246"/>
  <c r="DA246" s="1"/>
  <c r="CW259"/>
  <c r="DA259" s="1"/>
  <c r="CW180"/>
  <c r="DA180" s="1"/>
  <c r="CV147"/>
  <c r="CW120"/>
  <c r="DA120" s="1"/>
  <c r="CS294"/>
  <c r="CU294" s="1"/>
  <c r="CW105"/>
  <c r="CW58"/>
  <c r="DA58" s="1"/>
  <c r="CV257"/>
  <c r="CV55"/>
  <c r="CU34"/>
  <c r="CU95"/>
  <c r="CV126"/>
  <c r="CV94"/>
  <c r="CV106"/>
  <c r="CU129"/>
  <c r="CS109"/>
  <c r="CS110" s="1"/>
  <c r="CS118"/>
  <c r="CU118" s="1"/>
  <c r="CV99"/>
  <c r="CV84"/>
  <c r="CU100"/>
  <c r="CV129"/>
  <c r="CV70"/>
  <c r="CV100"/>
  <c r="CU121"/>
  <c r="CV138"/>
  <c r="CU94"/>
  <c r="CU106"/>
  <c r="CV128"/>
  <c r="CK26"/>
  <c r="CS11"/>
  <c r="CS13" s="1"/>
  <c r="CS263"/>
  <c r="CT5"/>
  <c r="CR7"/>
  <c r="CT102"/>
  <c r="CT186"/>
  <c r="CT164"/>
  <c r="CT185" s="1"/>
  <c r="CS64"/>
  <c r="CU64" s="1"/>
  <c r="CS142"/>
  <c r="CT17"/>
  <c r="CT24" s="1"/>
  <c r="CT26" s="1"/>
  <c r="CU54"/>
  <c r="CU47"/>
  <c r="CL262"/>
  <c r="CS8"/>
  <c r="CS10" s="1"/>
  <c r="CT210"/>
  <c r="CT213" s="1"/>
  <c r="CS160"/>
  <c r="CT96"/>
  <c r="CS210"/>
  <c r="CS213" s="1"/>
  <c r="CT14"/>
  <c r="CT16" s="1"/>
  <c r="CT188"/>
  <c r="CU45"/>
  <c r="CV54"/>
  <c r="CS174"/>
  <c r="CS83"/>
  <c r="CS254"/>
  <c r="CT34"/>
  <c r="CT36" s="1"/>
  <c r="CT108"/>
  <c r="CT110" s="1"/>
  <c r="CT236"/>
  <c r="CT122"/>
  <c r="CS179"/>
  <c r="CT46"/>
  <c r="CT49" s="1"/>
  <c r="CR82"/>
  <c r="CT80"/>
  <c r="CU55"/>
  <c r="CU53"/>
  <c r="DM53" s="1"/>
  <c r="CV63"/>
  <c r="CS122"/>
  <c r="CS168"/>
  <c r="CS46"/>
  <c r="CS60"/>
  <c r="CT266"/>
  <c r="CV266" s="1"/>
  <c r="CT50"/>
  <c r="CT52" s="1"/>
  <c r="CT76"/>
  <c r="CT79" s="1"/>
  <c r="CT105"/>
  <c r="CT241"/>
  <c r="CT248" s="1"/>
  <c r="CT233"/>
  <c r="CT235" s="1"/>
  <c r="CS164"/>
  <c r="CU67"/>
  <c r="CS72"/>
  <c r="CS75" s="1"/>
  <c r="CS70"/>
  <c r="CF135"/>
  <c r="CF262"/>
  <c r="CF240"/>
  <c r="CF223"/>
  <c r="CF185"/>
  <c r="DN17" l="1"/>
  <c r="DL17"/>
  <c r="DL24" s="1"/>
  <c r="DL26" s="1"/>
  <c r="DN34"/>
  <c r="DL34"/>
  <c r="DL36" s="1"/>
  <c r="DM143"/>
  <c r="DK143"/>
  <c r="DN198"/>
  <c r="DL198"/>
  <c r="DN60"/>
  <c r="DN115"/>
  <c r="DM302"/>
  <c r="DK302"/>
  <c r="DK219"/>
  <c r="DM219"/>
  <c r="DM116"/>
  <c r="DK116"/>
  <c r="DL60"/>
  <c r="DL30"/>
  <c r="DL33" s="1"/>
  <c r="DN80"/>
  <c r="DL80"/>
  <c r="DK8"/>
  <c r="DK10" s="1"/>
  <c r="DM8"/>
  <c r="DN14"/>
  <c r="DL14"/>
  <c r="DL16" s="1"/>
  <c r="DN108"/>
  <c r="DL296"/>
  <c r="DN30"/>
  <c r="DL76"/>
  <c r="DN76"/>
  <c r="DM41"/>
  <c r="DK41"/>
  <c r="DK43" s="1"/>
  <c r="DN241"/>
  <c r="DL241"/>
  <c r="DL46"/>
  <c r="DL49" s="1"/>
  <c r="DN46"/>
  <c r="DM51"/>
  <c r="DK51"/>
  <c r="DM133"/>
  <c r="DK133"/>
  <c r="DL210"/>
  <c r="DN210"/>
  <c r="DM210"/>
  <c r="DK210"/>
  <c r="DK32"/>
  <c r="DK33" s="1"/>
  <c r="DM32"/>
  <c r="DN127"/>
  <c r="DL127"/>
  <c r="DN176"/>
  <c r="DL108"/>
  <c r="DN296"/>
  <c r="DL115"/>
  <c r="DH308"/>
  <c r="DG55"/>
  <c r="DH54"/>
  <c r="DG106"/>
  <c r="DH100"/>
  <c r="DH84"/>
  <c r="DG231"/>
  <c r="DG268"/>
  <c r="CS240"/>
  <c r="DG54"/>
  <c r="DH128"/>
  <c r="DG121"/>
  <c r="DG100"/>
  <c r="DH94"/>
  <c r="DH55"/>
  <c r="DG296"/>
  <c r="CQ135"/>
  <c r="CT262"/>
  <c r="DG47"/>
  <c r="DG64"/>
  <c r="DH138"/>
  <c r="DH129"/>
  <c r="DG118"/>
  <c r="DH106"/>
  <c r="DG294"/>
  <c r="DG292"/>
  <c r="CV288"/>
  <c r="CS223"/>
  <c r="DG94"/>
  <c r="DH70"/>
  <c r="DG129"/>
  <c r="DG95"/>
  <c r="DG251"/>
  <c r="DH206"/>
  <c r="DH261"/>
  <c r="CT271"/>
  <c r="CS253"/>
  <c r="CU56"/>
  <c r="DA105"/>
  <c r="DE150"/>
  <c r="DI150" s="1"/>
  <c r="DA108"/>
  <c r="DE151"/>
  <c r="DI151" s="1"/>
  <c r="DE214"/>
  <c r="DI214" s="1"/>
  <c r="DE208"/>
  <c r="DI208" s="1"/>
  <c r="DE243"/>
  <c r="DI243" s="1"/>
  <c r="DA207"/>
  <c r="CW209"/>
  <c r="DF294"/>
  <c r="DJ294" s="1"/>
  <c r="DB86"/>
  <c r="DF252"/>
  <c r="DJ252" s="1"/>
  <c r="CU69"/>
  <c r="CS71"/>
  <c r="DE298"/>
  <c r="DI298" s="1"/>
  <c r="DI43"/>
  <c r="DM43" s="1"/>
  <c r="DH286"/>
  <c r="DH288" s="1"/>
  <c r="DF298"/>
  <c r="DB308"/>
  <c r="DG96"/>
  <c r="CU98"/>
  <c r="CV186"/>
  <c r="CT187"/>
  <c r="CU263"/>
  <c r="CS265"/>
  <c r="CV256"/>
  <c r="DE259"/>
  <c r="DI259" s="1"/>
  <c r="DE192"/>
  <c r="DI192" s="1"/>
  <c r="DE126"/>
  <c r="DI126" s="1"/>
  <c r="DA63"/>
  <c r="DE291"/>
  <c r="DI291" s="1"/>
  <c r="DE190"/>
  <c r="DI190" s="1"/>
  <c r="DE206"/>
  <c r="DI206" s="1"/>
  <c r="DE173"/>
  <c r="DI173" s="1"/>
  <c r="DE153"/>
  <c r="DI153" s="1"/>
  <c r="DA162"/>
  <c r="CW164"/>
  <c r="DE245"/>
  <c r="DI245" s="1"/>
  <c r="DE165"/>
  <c r="DI165" s="1"/>
  <c r="DA257"/>
  <c r="CW260"/>
  <c r="DE295"/>
  <c r="DI295" s="1"/>
  <c r="DA236"/>
  <c r="CW238"/>
  <c r="DF295"/>
  <c r="DJ295" s="1"/>
  <c r="DB83"/>
  <c r="DF245"/>
  <c r="DJ245" s="1"/>
  <c r="DB67"/>
  <c r="CX68"/>
  <c r="DF176"/>
  <c r="DF243"/>
  <c r="DJ243" s="1"/>
  <c r="DF192"/>
  <c r="DJ192" s="1"/>
  <c r="DF291"/>
  <c r="DJ291" s="1"/>
  <c r="DN291" s="1"/>
  <c r="DF214"/>
  <c r="DJ214" s="1"/>
  <c r="DF297"/>
  <c r="DJ297" s="1"/>
  <c r="DF216"/>
  <c r="DJ216" s="1"/>
  <c r="DF152"/>
  <c r="DJ152" s="1"/>
  <c r="DF148"/>
  <c r="DJ148" s="1"/>
  <c r="DJ82"/>
  <c r="DJ7"/>
  <c r="DN7" s="1"/>
  <c r="DI13"/>
  <c r="DM13" s="1"/>
  <c r="DH248"/>
  <c r="DG168"/>
  <c r="DG186"/>
  <c r="CU187"/>
  <c r="DG105"/>
  <c r="CU107"/>
  <c r="CV56"/>
  <c r="CW249"/>
  <c r="DG249"/>
  <c r="CU253"/>
  <c r="DJ49"/>
  <c r="DN49" s="1"/>
  <c r="DB272"/>
  <c r="CX286"/>
  <c r="CX288" s="1"/>
  <c r="DI10"/>
  <c r="DM10" s="1"/>
  <c r="DF33"/>
  <c r="DE138"/>
  <c r="DF180"/>
  <c r="DG164"/>
  <c r="DH68"/>
  <c r="CX263"/>
  <c r="DH263"/>
  <c r="CV265"/>
  <c r="DG215"/>
  <c r="CU217"/>
  <c r="DG57"/>
  <c r="CU59"/>
  <c r="DF110"/>
  <c r="DI33"/>
  <c r="DM33" s="1"/>
  <c r="DH168"/>
  <c r="DH249"/>
  <c r="CV253"/>
  <c r="DG261"/>
  <c r="DG102"/>
  <c r="CU104"/>
  <c r="DG160"/>
  <c r="DG174"/>
  <c r="CS269"/>
  <c r="CS271" s="1"/>
  <c r="DG34"/>
  <c r="CU36"/>
  <c r="DA211"/>
  <c r="CW213"/>
  <c r="DE297"/>
  <c r="DI297" s="1"/>
  <c r="DG299"/>
  <c r="CU308"/>
  <c r="DE148"/>
  <c r="DI148" s="1"/>
  <c r="DE250"/>
  <c r="DI250" s="1"/>
  <c r="DA159"/>
  <c r="CW160"/>
  <c r="DB122"/>
  <c r="DF120"/>
  <c r="DF153"/>
  <c r="DJ153" s="1"/>
  <c r="DF155"/>
  <c r="DJ155" s="1"/>
  <c r="DF190"/>
  <c r="DJ190" s="1"/>
  <c r="DF173"/>
  <c r="DJ173" s="1"/>
  <c r="DF95"/>
  <c r="DI52"/>
  <c r="DE7"/>
  <c r="DI5"/>
  <c r="DG213"/>
  <c r="DG207"/>
  <c r="CU209"/>
  <c r="DH159"/>
  <c r="CV160"/>
  <c r="DI134"/>
  <c r="DI146"/>
  <c r="DG67"/>
  <c r="CU68"/>
  <c r="CV105"/>
  <c r="CT107"/>
  <c r="CU60"/>
  <c r="CX63"/>
  <c r="DH63"/>
  <c r="CV65"/>
  <c r="CV236"/>
  <c r="CT238"/>
  <c r="CT240" s="1"/>
  <c r="CU83"/>
  <c r="CS85"/>
  <c r="CV188"/>
  <c r="CT191"/>
  <c r="CT223" s="1"/>
  <c r="DE58"/>
  <c r="DI58" s="1"/>
  <c r="DH147"/>
  <c r="CV156"/>
  <c r="DE216"/>
  <c r="DI216" s="1"/>
  <c r="DE154"/>
  <c r="DI154" s="1"/>
  <c r="DE176"/>
  <c r="DI176" s="1"/>
  <c r="DE48"/>
  <c r="DI48" s="1"/>
  <c r="DE247"/>
  <c r="DI247" s="1"/>
  <c r="DE155"/>
  <c r="DI155" s="1"/>
  <c r="DA99"/>
  <c r="DE252"/>
  <c r="DI252" s="1"/>
  <c r="DE152"/>
  <c r="DI152" s="1"/>
  <c r="DA102"/>
  <c r="CW104"/>
  <c r="DG242"/>
  <c r="CU248"/>
  <c r="DE172"/>
  <c r="DI172" s="1"/>
  <c r="DA171"/>
  <c r="CW174"/>
  <c r="DE237"/>
  <c r="DI237" s="1"/>
  <c r="DA137"/>
  <c r="CW139"/>
  <c r="DE258"/>
  <c r="DI258" s="1"/>
  <c r="DA267"/>
  <c r="DA57"/>
  <c r="CW59"/>
  <c r="DF151"/>
  <c r="DJ151" s="1"/>
  <c r="DF64"/>
  <c r="DJ64" s="1"/>
  <c r="DB182"/>
  <c r="CX184"/>
  <c r="DF172"/>
  <c r="DJ172" s="1"/>
  <c r="DF121"/>
  <c r="DJ121" s="1"/>
  <c r="DB242"/>
  <c r="CX248"/>
  <c r="DF237"/>
  <c r="DJ237" s="1"/>
  <c r="DF292"/>
  <c r="DJ292" s="1"/>
  <c r="DF154"/>
  <c r="DJ154" s="1"/>
  <c r="DB215"/>
  <c r="CX217"/>
  <c r="DB211"/>
  <c r="CX213"/>
  <c r="DB167"/>
  <c r="CX168"/>
  <c r="DJ24"/>
  <c r="DN24" s="1"/>
  <c r="DJ79"/>
  <c r="DF62"/>
  <c r="DI97"/>
  <c r="DE98"/>
  <c r="DF52"/>
  <c r="DJ50"/>
  <c r="CW188"/>
  <c r="DG188"/>
  <c r="CU191"/>
  <c r="DG137"/>
  <c r="CU139"/>
  <c r="CW272"/>
  <c r="DG272"/>
  <c r="CU286"/>
  <c r="DH83"/>
  <c r="CV85"/>
  <c r="DF117"/>
  <c r="DJ36"/>
  <c r="DN36" s="1"/>
  <c r="DI117"/>
  <c r="DH228"/>
  <c r="DH213"/>
  <c r="DG99"/>
  <c r="CU101"/>
  <c r="DH215"/>
  <c r="CV217"/>
  <c r="DG236"/>
  <c r="CU238"/>
  <c r="DH184"/>
  <c r="CX171"/>
  <c r="DH171"/>
  <c r="CV174"/>
  <c r="CX137"/>
  <c r="DH137"/>
  <c r="CV139"/>
  <c r="DH69"/>
  <c r="DJ69" s="1"/>
  <c r="DN69" s="1"/>
  <c r="CV71"/>
  <c r="DH218"/>
  <c r="CV221"/>
  <c r="DI138"/>
  <c r="CS65"/>
  <c r="CX308"/>
  <c r="CU65"/>
  <c r="CS248"/>
  <c r="CU46"/>
  <c r="CS49"/>
  <c r="DE180"/>
  <c r="DI180" s="1"/>
  <c r="DE163"/>
  <c r="DI163" s="1"/>
  <c r="DE212"/>
  <c r="DI212" s="1"/>
  <c r="DA147"/>
  <c r="CW156"/>
  <c r="DE158"/>
  <c r="DI158" s="1"/>
  <c r="DB250"/>
  <c r="CX253"/>
  <c r="DF258"/>
  <c r="DJ258" s="1"/>
  <c r="DF165"/>
  <c r="DF220"/>
  <c r="DJ220" s="1"/>
  <c r="DF150"/>
  <c r="DJ150" s="1"/>
  <c r="DB189"/>
  <c r="CX191"/>
  <c r="DF259"/>
  <c r="DJ259" s="1"/>
  <c r="DG184"/>
  <c r="DG65"/>
  <c r="DH266"/>
  <c r="CV271"/>
  <c r="CU254"/>
  <c r="DM254" s="1"/>
  <c r="CS256"/>
  <c r="CV96"/>
  <c r="CT98"/>
  <c r="CV102"/>
  <c r="CT104"/>
  <c r="DH99"/>
  <c r="CV101"/>
  <c r="CX126"/>
  <c r="DB126" s="1"/>
  <c r="DH126"/>
  <c r="CX257"/>
  <c r="DH257"/>
  <c r="CV260"/>
  <c r="DE120"/>
  <c r="DE246"/>
  <c r="DI246" s="1"/>
  <c r="DE183"/>
  <c r="DI183" s="1"/>
  <c r="DA227"/>
  <c r="CW228"/>
  <c r="DA86"/>
  <c r="DE255"/>
  <c r="DI255" s="1"/>
  <c r="DA182"/>
  <c r="CW184"/>
  <c r="DE128"/>
  <c r="DI128" s="1"/>
  <c r="DE189"/>
  <c r="DI189" s="1"/>
  <c r="DE84"/>
  <c r="DI84" s="1"/>
  <c r="DE234"/>
  <c r="DI234" s="1"/>
  <c r="DA261"/>
  <c r="DE149"/>
  <c r="DI149" s="1"/>
  <c r="DA186"/>
  <c r="CW187"/>
  <c r="DA233"/>
  <c r="CW235"/>
  <c r="DA167"/>
  <c r="CW168"/>
  <c r="DA215"/>
  <c r="CW217"/>
  <c r="DF255"/>
  <c r="DJ255" s="1"/>
  <c r="DB261"/>
  <c r="DF212"/>
  <c r="DJ212" s="1"/>
  <c r="DF247"/>
  <c r="DJ247" s="1"/>
  <c r="DB219"/>
  <c r="CX221"/>
  <c r="DF118"/>
  <c r="DJ118" s="1"/>
  <c r="DF251"/>
  <c r="DJ251" s="1"/>
  <c r="DF149"/>
  <c r="DJ149" s="1"/>
  <c r="DF183"/>
  <c r="DJ183" s="1"/>
  <c r="DB208"/>
  <c r="CX209"/>
  <c r="DF246"/>
  <c r="DJ246" s="1"/>
  <c r="DF234"/>
  <c r="DJ234" s="1"/>
  <c r="DB227"/>
  <c r="CX228"/>
  <c r="CX231"/>
  <c r="DB231" s="1"/>
  <c r="DH231"/>
  <c r="DG233"/>
  <c r="CU235"/>
  <c r="DI113"/>
  <c r="DJ75"/>
  <c r="DJ13"/>
  <c r="DN13" s="1"/>
  <c r="DI221"/>
  <c r="DF158"/>
  <c r="DJ158" s="1"/>
  <c r="DG147"/>
  <c r="CU156"/>
  <c r="DG228"/>
  <c r="DG267"/>
  <c r="CU269"/>
  <c r="DG108"/>
  <c r="DH208"/>
  <c r="CV209"/>
  <c r="DG257"/>
  <c r="CU260"/>
  <c r="DI16"/>
  <c r="DM16" s="1"/>
  <c r="DJ16"/>
  <c r="DN16" s="1"/>
  <c r="DJ180"/>
  <c r="CS135"/>
  <c r="CX159"/>
  <c r="CS308"/>
  <c r="DG122"/>
  <c r="CV185"/>
  <c r="CR89"/>
  <c r="CR310" s="1"/>
  <c r="CS185"/>
  <c r="CV233"/>
  <c r="CX128"/>
  <c r="DB128" s="1"/>
  <c r="CX129"/>
  <c r="DB129" s="1"/>
  <c r="CX94"/>
  <c r="DB94" s="1"/>
  <c r="CX206"/>
  <c r="DB206" s="1"/>
  <c r="CX122"/>
  <c r="CX138"/>
  <c r="DB138" s="1"/>
  <c r="CX99"/>
  <c r="CX106"/>
  <c r="DB106" s="1"/>
  <c r="CX147"/>
  <c r="CX266"/>
  <c r="CX54"/>
  <c r="DB54" s="1"/>
  <c r="CX102"/>
  <c r="CX70"/>
  <c r="CX84"/>
  <c r="DB84" s="1"/>
  <c r="CX105"/>
  <c r="CX100"/>
  <c r="DB100" s="1"/>
  <c r="CX55"/>
  <c r="DB55" s="1"/>
  <c r="CW268"/>
  <c r="DA268" s="1"/>
  <c r="CW60"/>
  <c r="CW294"/>
  <c r="DA294" s="1"/>
  <c r="CW231"/>
  <c r="DA231" s="1"/>
  <c r="CW292"/>
  <c r="DA292" s="1"/>
  <c r="CW46"/>
  <c r="CW118"/>
  <c r="DA118" s="1"/>
  <c r="CW296"/>
  <c r="DA296" s="1"/>
  <c r="CW242"/>
  <c r="CW67"/>
  <c r="CW64"/>
  <c r="DA64" s="1"/>
  <c r="CW94"/>
  <c r="DA94" s="1"/>
  <c r="CW100"/>
  <c r="DA100" s="1"/>
  <c r="CW129"/>
  <c r="DA129" s="1"/>
  <c r="CW251"/>
  <c r="DA251" s="1"/>
  <c r="CW83"/>
  <c r="DA45"/>
  <c r="CW106"/>
  <c r="DA106" s="1"/>
  <c r="CW54"/>
  <c r="DA54" s="1"/>
  <c r="CU122"/>
  <c r="CW121"/>
  <c r="CW34"/>
  <c r="CW263"/>
  <c r="CW299"/>
  <c r="CW55"/>
  <c r="DA55" s="1"/>
  <c r="CW47"/>
  <c r="DA47" s="1"/>
  <c r="CW95"/>
  <c r="CU109"/>
  <c r="CU70"/>
  <c r="CT82"/>
  <c r="CT7"/>
  <c r="CI75"/>
  <c r="CJ75"/>
  <c r="CK75"/>
  <c r="CL75"/>
  <c r="CI71"/>
  <c r="CJ71"/>
  <c r="CK71"/>
  <c r="CL71"/>
  <c r="CI65"/>
  <c r="CJ65"/>
  <c r="CK65"/>
  <c r="CI62"/>
  <c r="CJ62"/>
  <c r="CK61"/>
  <c r="CI110"/>
  <c r="CJ110"/>
  <c r="CK110"/>
  <c r="CI107"/>
  <c r="CJ107"/>
  <c r="CK107"/>
  <c r="CL107"/>
  <c r="CI104"/>
  <c r="CJ104"/>
  <c r="CK104"/>
  <c r="CI101"/>
  <c r="CJ101"/>
  <c r="CK101"/>
  <c r="CL101"/>
  <c r="CI98"/>
  <c r="CJ98"/>
  <c r="CI93"/>
  <c r="CJ93"/>
  <c r="CK93"/>
  <c r="CL93"/>
  <c r="CO135"/>
  <c r="CI85"/>
  <c r="CJ85"/>
  <c r="CK85"/>
  <c r="CL85"/>
  <c r="CI290"/>
  <c r="CJ290"/>
  <c r="CK290"/>
  <c r="CL290"/>
  <c r="CI286"/>
  <c r="CI288" s="1"/>
  <c r="CJ286"/>
  <c r="CJ288" s="1"/>
  <c r="CK286"/>
  <c r="CL286"/>
  <c r="CI269"/>
  <c r="CI271" s="1"/>
  <c r="CJ269"/>
  <c r="CJ271" s="1"/>
  <c r="CK269"/>
  <c r="CL269"/>
  <c r="CI265"/>
  <c r="CJ265"/>
  <c r="CK265"/>
  <c r="CI253"/>
  <c r="CJ253"/>
  <c r="CK253"/>
  <c r="CI248"/>
  <c r="CJ248"/>
  <c r="CK248"/>
  <c r="CI238"/>
  <c r="CJ238"/>
  <c r="CK238"/>
  <c r="CL238"/>
  <c r="CI225"/>
  <c r="CJ225"/>
  <c r="CK225"/>
  <c r="CL225"/>
  <c r="CI221"/>
  <c r="CJ221"/>
  <c r="CK221"/>
  <c r="CL221"/>
  <c r="CI217"/>
  <c r="CJ217"/>
  <c r="CK217"/>
  <c r="CL217"/>
  <c r="CI256"/>
  <c r="CJ256"/>
  <c r="CK256"/>
  <c r="CI82"/>
  <c r="CJ82"/>
  <c r="CK82"/>
  <c r="CL82"/>
  <c r="CI260"/>
  <c r="CJ260"/>
  <c r="CK260"/>
  <c r="CI79"/>
  <c r="CJ79"/>
  <c r="CK79"/>
  <c r="CL79"/>
  <c r="CI134"/>
  <c r="CJ134"/>
  <c r="CK134"/>
  <c r="CL134"/>
  <c r="CI191"/>
  <c r="CJ191"/>
  <c r="CK191"/>
  <c r="CL191"/>
  <c r="CI122"/>
  <c r="CJ122"/>
  <c r="CK122"/>
  <c r="CL122"/>
  <c r="CI59"/>
  <c r="CJ59"/>
  <c r="CK59"/>
  <c r="CI56"/>
  <c r="CJ56"/>
  <c r="CK56"/>
  <c r="CI52"/>
  <c r="CJ52"/>
  <c r="CK52"/>
  <c r="CI308"/>
  <c r="CJ308"/>
  <c r="CK308"/>
  <c r="CL308"/>
  <c r="CI228"/>
  <c r="CJ228"/>
  <c r="CK228"/>
  <c r="CL228"/>
  <c r="CI125"/>
  <c r="CJ125"/>
  <c r="CK125"/>
  <c r="CL125"/>
  <c r="CI184"/>
  <c r="CI185" s="1"/>
  <c r="CJ184"/>
  <c r="CJ185" s="1"/>
  <c r="CK184"/>
  <c r="CL184"/>
  <c r="CG6"/>
  <c r="CH6"/>
  <c r="CG8"/>
  <c r="CH8"/>
  <c r="CG9"/>
  <c r="CH9"/>
  <c r="CG11"/>
  <c r="CH11"/>
  <c r="CG12"/>
  <c r="CH12"/>
  <c r="CG14"/>
  <c r="CH14"/>
  <c r="CG15"/>
  <c r="CH15"/>
  <c r="CG17"/>
  <c r="CH17"/>
  <c r="CG18"/>
  <c r="CH18"/>
  <c r="CG19"/>
  <c r="CH19"/>
  <c r="CG20"/>
  <c r="CH20"/>
  <c r="CG21"/>
  <c r="CH21"/>
  <c r="CG22"/>
  <c r="CH22"/>
  <c r="CG23"/>
  <c r="CH23"/>
  <c r="CG25"/>
  <c r="CH25"/>
  <c r="CG27"/>
  <c r="CH27"/>
  <c r="CG28"/>
  <c r="CH28"/>
  <c r="CG30"/>
  <c r="CH30"/>
  <c r="CG31"/>
  <c r="CH31"/>
  <c r="CG32"/>
  <c r="CH32"/>
  <c r="CG34"/>
  <c r="CH34"/>
  <c r="CG35"/>
  <c r="CH35"/>
  <c r="CG37"/>
  <c r="CH37"/>
  <c r="CG38"/>
  <c r="CH38"/>
  <c r="CG40"/>
  <c r="CH40"/>
  <c r="CG41"/>
  <c r="CH41"/>
  <c r="CG42"/>
  <c r="CH42"/>
  <c r="CG44"/>
  <c r="CH44"/>
  <c r="CG45"/>
  <c r="CH45"/>
  <c r="CG46"/>
  <c r="CH46"/>
  <c r="CH47"/>
  <c r="CG48"/>
  <c r="CH48"/>
  <c r="CG50"/>
  <c r="CH50"/>
  <c r="CG51"/>
  <c r="CH51"/>
  <c r="CG53"/>
  <c r="CH53"/>
  <c r="CG54"/>
  <c r="CH54"/>
  <c r="CG55"/>
  <c r="CH55"/>
  <c r="CG57"/>
  <c r="CH57"/>
  <c r="CG58"/>
  <c r="CH58"/>
  <c r="CG60"/>
  <c r="CH60"/>
  <c r="CH61"/>
  <c r="CG63"/>
  <c r="CH63"/>
  <c r="CG64"/>
  <c r="CH64"/>
  <c r="CG66"/>
  <c r="CH66"/>
  <c r="CG67"/>
  <c r="CH67"/>
  <c r="CG69"/>
  <c r="CH69"/>
  <c r="CG70"/>
  <c r="CH70"/>
  <c r="CG72"/>
  <c r="CH72"/>
  <c r="CG73"/>
  <c r="CH73"/>
  <c r="CG74"/>
  <c r="CH74"/>
  <c r="CG76"/>
  <c r="CH76"/>
  <c r="CG77"/>
  <c r="CH77"/>
  <c r="CG78"/>
  <c r="CH78"/>
  <c r="CG80"/>
  <c r="CH80"/>
  <c r="CG81"/>
  <c r="CH81"/>
  <c r="CG83"/>
  <c r="CH83"/>
  <c r="CG84"/>
  <c r="CH84"/>
  <c r="CG86"/>
  <c r="CH86"/>
  <c r="CG87"/>
  <c r="CH87"/>
  <c r="CG88"/>
  <c r="CH88"/>
  <c r="CG90"/>
  <c r="CH90"/>
  <c r="CG91"/>
  <c r="CH91"/>
  <c r="CG92"/>
  <c r="CH92"/>
  <c r="CG94"/>
  <c r="CH94"/>
  <c r="CG95"/>
  <c r="CH95"/>
  <c r="CG96"/>
  <c r="CH96"/>
  <c r="CG97"/>
  <c r="CH97"/>
  <c r="CG99"/>
  <c r="CH99"/>
  <c r="CG100"/>
  <c r="CH100"/>
  <c r="CG102"/>
  <c r="CH102"/>
  <c r="CG103"/>
  <c r="CH103"/>
  <c r="CG105"/>
  <c r="CH105"/>
  <c r="CG106"/>
  <c r="CH106"/>
  <c r="CG108"/>
  <c r="CH108"/>
  <c r="CG109"/>
  <c r="CH109"/>
  <c r="CG111"/>
  <c r="CH111"/>
  <c r="CG112"/>
  <c r="CH112"/>
  <c r="CG114"/>
  <c r="CH114"/>
  <c r="CG115"/>
  <c r="CH115"/>
  <c r="CG116"/>
  <c r="CH116"/>
  <c r="CG118"/>
  <c r="CH118"/>
  <c r="CG119"/>
  <c r="CH119"/>
  <c r="CG120"/>
  <c r="CH120"/>
  <c r="CG121"/>
  <c r="CH121"/>
  <c r="CG123"/>
  <c r="CH123"/>
  <c r="CG124"/>
  <c r="CH124"/>
  <c r="CG126"/>
  <c r="CH126"/>
  <c r="CG127"/>
  <c r="CH127"/>
  <c r="CG128"/>
  <c r="CH128"/>
  <c r="CG129"/>
  <c r="CH129"/>
  <c r="CG130"/>
  <c r="CH130"/>
  <c r="CG131"/>
  <c r="CH131"/>
  <c r="CG132"/>
  <c r="CH132"/>
  <c r="CG133"/>
  <c r="CH133"/>
  <c r="CG136"/>
  <c r="CH136"/>
  <c r="CG137"/>
  <c r="CH137"/>
  <c r="CG138"/>
  <c r="CH138"/>
  <c r="CG140"/>
  <c r="CH140"/>
  <c r="CG141"/>
  <c r="CH141"/>
  <c r="CG143"/>
  <c r="CH143"/>
  <c r="CG144"/>
  <c r="CH144"/>
  <c r="CG145"/>
  <c r="CH145"/>
  <c r="CG147"/>
  <c r="CH147"/>
  <c r="CG148"/>
  <c r="CH148"/>
  <c r="CG149"/>
  <c r="CH149"/>
  <c r="CG150"/>
  <c r="CH150"/>
  <c r="CG151"/>
  <c r="CH151"/>
  <c r="CG152"/>
  <c r="CH152"/>
  <c r="CG153"/>
  <c r="CH153"/>
  <c r="CG154"/>
  <c r="CH154"/>
  <c r="CG155"/>
  <c r="CH155"/>
  <c r="CG157"/>
  <c r="CH157"/>
  <c r="CG158"/>
  <c r="CH158"/>
  <c r="CG159"/>
  <c r="CH159"/>
  <c r="CG161"/>
  <c r="CH161"/>
  <c r="CG162"/>
  <c r="CH162"/>
  <c r="CG163"/>
  <c r="CH163"/>
  <c r="CG165"/>
  <c r="CH165"/>
  <c r="CG166"/>
  <c r="CH166"/>
  <c r="CG167"/>
  <c r="CH167"/>
  <c r="CG169"/>
  <c r="CH169"/>
  <c r="CG170"/>
  <c r="CH170"/>
  <c r="CG171"/>
  <c r="CH171"/>
  <c r="CG172"/>
  <c r="CH172"/>
  <c r="CG173"/>
  <c r="CH173"/>
  <c r="CG175"/>
  <c r="CH175"/>
  <c r="CG176"/>
  <c r="CH176"/>
  <c r="CG177"/>
  <c r="CH177"/>
  <c r="CG178"/>
  <c r="CH178"/>
  <c r="CG180"/>
  <c r="CH180"/>
  <c r="CG181"/>
  <c r="CH181"/>
  <c r="CG182"/>
  <c r="CH182"/>
  <c r="CG183"/>
  <c r="CH183"/>
  <c r="CH186"/>
  <c r="CH187" s="1"/>
  <c r="CG188"/>
  <c r="CH188"/>
  <c r="CG189"/>
  <c r="CH189"/>
  <c r="CG190"/>
  <c r="CH190"/>
  <c r="CG192"/>
  <c r="CH192"/>
  <c r="CG193"/>
  <c r="CH193"/>
  <c r="CG194"/>
  <c r="CH194"/>
  <c r="CG196"/>
  <c r="CH196"/>
  <c r="CG197"/>
  <c r="CH197"/>
  <c r="CG198"/>
  <c r="CH198"/>
  <c r="CG199"/>
  <c r="CH199"/>
  <c r="CG200"/>
  <c r="CH200"/>
  <c r="CG201"/>
  <c r="CH201"/>
  <c r="CG202"/>
  <c r="CH202"/>
  <c r="CG203"/>
  <c r="CH203"/>
  <c r="CG204"/>
  <c r="CH204"/>
  <c r="CG206"/>
  <c r="CH206"/>
  <c r="CG207"/>
  <c r="CH207"/>
  <c r="CG208"/>
  <c r="CH208"/>
  <c r="CG210"/>
  <c r="CH210"/>
  <c r="CG211"/>
  <c r="CH211"/>
  <c r="CG212"/>
  <c r="CH212"/>
  <c r="CG214"/>
  <c r="CH214"/>
  <c r="CG215"/>
  <c r="CH215"/>
  <c r="CG216"/>
  <c r="CH216"/>
  <c r="CG218"/>
  <c r="CH218"/>
  <c r="CG219"/>
  <c r="CH219"/>
  <c r="CG220"/>
  <c r="CH220"/>
  <c r="CG222"/>
  <c r="CH222"/>
  <c r="CG224"/>
  <c r="CG225" s="1"/>
  <c r="CH224"/>
  <c r="CH225" s="1"/>
  <c r="CG226"/>
  <c r="CH226"/>
  <c r="CG227"/>
  <c r="CH227"/>
  <c r="CG229"/>
  <c r="CH229"/>
  <c r="CG230"/>
  <c r="CH230"/>
  <c r="CG231"/>
  <c r="CH231"/>
  <c r="CG232"/>
  <c r="CH232"/>
  <c r="CG233"/>
  <c r="CH233"/>
  <c r="CG234"/>
  <c r="CH234"/>
  <c r="CG236"/>
  <c r="CH236"/>
  <c r="CG237"/>
  <c r="CH237"/>
  <c r="CG239"/>
  <c r="CH239"/>
  <c r="CG241"/>
  <c r="CH241"/>
  <c r="CG242"/>
  <c r="CH242"/>
  <c r="CG243"/>
  <c r="CH243"/>
  <c r="CG244"/>
  <c r="CH244"/>
  <c r="CG245"/>
  <c r="CH245"/>
  <c r="CG246"/>
  <c r="CH246"/>
  <c r="CG247"/>
  <c r="CH247"/>
  <c r="CG249"/>
  <c r="CH249"/>
  <c r="CG250"/>
  <c r="CH250"/>
  <c r="CG251"/>
  <c r="CH251"/>
  <c r="CG252"/>
  <c r="CH252"/>
  <c r="CG254"/>
  <c r="CH254"/>
  <c r="CG255"/>
  <c r="CH255"/>
  <c r="CG257"/>
  <c r="CH257"/>
  <c r="CG258"/>
  <c r="CH258"/>
  <c r="CG259"/>
  <c r="CH259"/>
  <c r="CG261"/>
  <c r="CH261"/>
  <c r="CG263"/>
  <c r="CH263"/>
  <c r="CG264"/>
  <c r="CH264"/>
  <c r="CG266"/>
  <c r="CH266"/>
  <c r="CG267"/>
  <c r="CH267"/>
  <c r="CG268"/>
  <c r="CH268"/>
  <c r="CG270"/>
  <c r="CH270"/>
  <c r="CG272"/>
  <c r="CG286" s="1"/>
  <c r="CH272"/>
  <c r="CH286" s="1"/>
  <c r="CG273"/>
  <c r="CH273"/>
  <c r="CG274"/>
  <c r="CH274"/>
  <c r="CG275"/>
  <c r="CH275"/>
  <c r="CG276"/>
  <c r="CH276"/>
  <c r="CG277"/>
  <c r="CH277"/>
  <c r="CG278"/>
  <c r="CH278"/>
  <c r="CG279"/>
  <c r="CH279"/>
  <c r="CG280"/>
  <c r="CH280"/>
  <c r="CG281"/>
  <c r="CH281"/>
  <c r="CG282"/>
  <c r="CH282"/>
  <c r="CG283"/>
  <c r="CH283"/>
  <c r="CG284"/>
  <c r="CH284"/>
  <c r="CG285"/>
  <c r="CH285"/>
  <c r="CG287"/>
  <c r="CH287"/>
  <c r="CG289"/>
  <c r="CG290" s="1"/>
  <c r="CH289"/>
  <c r="CH290" s="1"/>
  <c r="CG291"/>
  <c r="CH291"/>
  <c r="CG292"/>
  <c r="CH292"/>
  <c r="CG293"/>
  <c r="CH293"/>
  <c r="CG294"/>
  <c r="CH294"/>
  <c r="CG295"/>
  <c r="CH295"/>
  <c r="CG296"/>
  <c r="CH296"/>
  <c r="CG297"/>
  <c r="CH297"/>
  <c r="CG298"/>
  <c r="CH298"/>
  <c r="CG299"/>
  <c r="CH299"/>
  <c r="CG300"/>
  <c r="CH300"/>
  <c r="CG301"/>
  <c r="CH301"/>
  <c r="CG302"/>
  <c r="CH302"/>
  <c r="CG303"/>
  <c r="CH303"/>
  <c r="CG304"/>
  <c r="CH304"/>
  <c r="CG305"/>
  <c r="CH305"/>
  <c r="CG306"/>
  <c r="CH306"/>
  <c r="CG307"/>
  <c r="CH307"/>
  <c r="CG309"/>
  <c r="CH309"/>
  <c r="CH5"/>
  <c r="CH7" s="1"/>
  <c r="CG5"/>
  <c r="CG7" s="1"/>
  <c r="CA308"/>
  <c r="CB308"/>
  <c r="CC308"/>
  <c r="CD308"/>
  <c r="CE308"/>
  <c r="CA290"/>
  <c r="CB290"/>
  <c r="CC290"/>
  <c r="CD290"/>
  <c r="CE290"/>
  <c r="CA286"/>
  <c r="CA288" s="1"/>
  <c r="CB286"/>
  <c r="CB288" s="1"/>
  <c r="CC286"/>
  <c r="CC288" s="1"/>
  <c r="CD286"/>
  <c r="CD288" s="1"/>
  <c r="CE286"/>
  <c r="CE288" s="1"/>
  <c r="CA269"/>
  <c r="CA271" s="1"/>
  <c r="CB269"/>
  <c r="CB271" s="1"/>
  <c r="CC269"/>
  <c r="CC271" s="1"/>
  <c r="CD269"/>
  <c r="CD271" s="1"/>
  <c r="CE269"/>
  <c r="CE271" s="1"/>
  <c r="CA265"/>
  <c r="CB265"/>
  <c r="CC265"/>
  <c r="CD265"/>
  <c r="CE265"/>
  <c r="CA260"/>
  <c r="CB260"/>
  <c r="CC260"/>
  <c r="CD260"/>
  <c r="CE260"/>
  <c r="CA256"/>
  <c r="CB256"/>
  <c r="CC256"/>
  <c r="CD256"/>
  <c r="CE256"/>
  <c r="BZ256"/>
  <c r="CA253"/>
  <c r="CB253"/>
  <c r="CC253"/>
  <c r="CD253"/>
  <c r="CE253"/>
  <c r="CA248"/>
  <c r="CB248"/>
  <c r="CC248"/>
  <c r="CD248"/>
  <c r="CE248"/>
  <c r="CA238"/>
  <c r="CB238"/>
  <c r="CC238"/>
  <c r="CD238"/>
  <c r="CE238"/>
  <c r="CA228"/>
  <c r="CB228"/>
  <c r="CC228"/>
  <c r="CD228"/>
  <c r="CE228"/>
  <c r="CA225"/>
  <c r="CB225"/>
  <c r="CC225"/>
  <c r="CD225"/>
  <c r="CE225"/>
  <c r="CA221"/>
  <c r="CB221"/>
  <c r="CC221"/>
  <c r="CD221"/>
  <c r="CE221"/>
  <c r="CA217"/>
  <c r="CB217"/>
  <c r="CC217"/>
  <c r="CD217"/>
  <c r="CE217"/>
  <c r="CA213"/>
  <c r="CB213"/>
  <c r="CC213"/>
  <c r="CD213"/>
  <c r="CE213"/>
  <c r="CA209"/>
  <c r="CB209"/>
  <c r="CC209"/>
  <c r="CD209"/>
  <c r="CE209"/>
  <c r="CA205"/>
  <c r="CB205"/>
  <c r="CC205"/>
  <c r="CD205"/>
  <c r="CE205"/>
  <c r="CA195"/>
  <c r="CB195"/>
  <c r="CC195"/>
  <c r="CD195"/>
  <c r="CE195"/>
  <c r="CA191"/>
  <c r="CB191"/>
  <c r="CC191"/>
  <c r="CD191"/>
  <c r="CE191"/>
  <c r="CB187"/>
  <c r="CC187"/>
  <c r="CD187"/>
  <c r="CE187"/>
  <c r="CA186"/>
  <c r="CG186" s="1"/>
  <c r="CG187" s="1"/>
  <c r="CA184"/>
  <c r="CB184"/>
  <c r="CC184"/>
  <c r="CD184"/>
  <c r="CE184"/>
  <c r="CA179"/>
  <c r="CB179"/>
  <c r="CC179"/>
  <c r="CD179"/>
  <c r="CE179"/>
  <c r="CA174"/>
  <c r="CB174"/>
  <c r="CC174"/>
  <c r="CD174"/>
  <c r="CE174"/>
  <c r="CA168"/>
  <c r="CB168"/>
  <c r="CC168"/>
  <c r="CD168"/>
  <c r="CE168"/>
  <c r="CA160"/>
  <c r="CB160"/>
  <c r="CA156"/>
  <c r="CB156"/>
  <c r="CA146"/>
  <c r="CB146"/>
  <c r="CC146"/>
  <c r="CA142"/>
  <c r="CB142"/>
  <c r="CA139"/>
  <c r="CB139"/>
  <c r="CA134"/>
  <c r="CB134"/>
  <c r="CC134"/>
  <c r="CD134"/>
  <c r="CE134"/>
  <c r="CA125"/>
  <c r="CB125"/>
  <c r="CC125"/>
  <c r="CD125"/>
  <c r="CE125"/>
  <c r="CA122"/>
  <c r="CB122"/>
  <c r="CC122"/>
  <c r="CD122"/>
  <c r="CE122"/>
  <c r="CA117"/>
  <c r="CB117"/>
  <c r="CC117"/>
  <c r="CD117"/>
  <c r="CE117"/>
  <c r="CA113"/>
  <c r="CB113"/>
  <c r="CC113"/>
  <c r="CD113"/>
  <c r="CE113"/>
  <c r="CA110"/>
  <c r="CB110"/>
  <c r="CC110"/>
  <c r="CD110"/>
  <c r="CE110"/>
  <c r="CA107"/>
  <c r="CB107"/>
  <c r="CC107"/>
  <c r="CD107"/>
  <c r="CE107"/>
  <c r="CA104"/>
  <c r="CB104"/>
  <c r="CC104"/>
  <c r="CD104"/>
  <c r="CE104"/>
  <c r="CA101"/>
  <c r="CB101"/>
  <c r="CC101"/>
  <c r="CD101"/>
  <c r="CE101"/>
  <c r="CA98"/>
  <c r="CB98"/>
  <c r="CC98"/>
  <c r="CD98"/>
  <c r="CE98"/>
  <c r="CA93"/>
  <c r="CB93"/>
  <c r="CC93"/>
  <c r="CD93"/>
  <c r="CE93"/>
  <c r="CA61"/>
  <c r="CG61" s="1"/>
  <c r="CA85"/>
  <c r="CB85"/>
  <c r="CC85"/>
  <c r="CD85"/>
  <c r="CE85"/>
  <c r="CA82"/>
  <c r="CB82"/>
  <c r="CC82"/>
  <c r="CD82"/>
  <c r="CE82"/>
  <c r="CA79"/>
  <c r="CB79"/>
  <c r="CC79"/>
  <c r="CD79"/>
  <c r="CE79"/>
  <c r="CA75"/>
  <c r="CB75"/>
  <c r="CC75"/>
  <c r="CD75"/>
  <c r="CE75"/>
  <c r="CA71"/>
  <c r="CB71"/>
  <c r="CC71"/>
  <c r="CD71"/>
  <c r="CE71"/>
  <c r="CA68"/>
  <c r="CB68"/>
  <c r="CC68"/>
  <c r="CD68"/>
  <c r="CE68"/>
  <c r="CA65"/>
  <c r="CB65"/>
  <c r="CC65"/>
  <c r="CD65"/>
  <c r="CE65"/>
  <c r="CA62"/>
  <c r="CB62"/>
  <c r="CC62"/>
  <c r="CD62"/>
  <c r="CE62"/>
  <c r="CA59"/>
  <c r="CB59"/>
  <c r="CC59"/>
  <c r="CD59"/>
  <c r="CE59"/>
  <c r="CA56"/>
  <c r="CB56"/>
  <c r="CC56"/>
  <c r="CD56"/>
  <c r="CE56"/>
  <c r="CA52"/>
  <c r="CB52"/>
  <c r="CC52"/>
  <c r="CD52"/>
  <c r="CE52"/>
  <c r="CB49"/>
  <c r="CC49"/>
  <c r="CD49"/>
  <c r="CE49"/>
  <c r="CA43"/>
  <c r="CB43"/>
  <c r="CC43"/>
  <c r="CD43"/>
  <c r="CE43"/>
  <c r="CA39"/>
  <c r="CB39"/>
  <c r="CC39"/>
  <c r="CD39"/>
  <c r="CE39"/>
  <c r="CA36"/>
  <c r="CB36"/>
  <c r="CC36"/>
  <c r="CD36"/>
  <c r="CE36"/>
  <c r="CA33"/>
  <c r="CB33"/>
  <c r="CC33"/>
  <c r="CD33"/>
  <c r="CE33"/>
  <c r="CA29"/>
  <c r="CB29"/>
  <c r="CC29"/>
  <c r="CD29"/>
  <c r="CE29"/>
  <c r="CJ89"/>
  <c r="CA24"/>
  <c r="CA26" s="1"/>
  <c r="CB24"/>
  <c r="CB26" s="1"/>
  <c r="CC24"/>
  <c r="CC26" s="1"/>
  <c r="CD24"/>
  <c r="CD26" s="1"/>
  <c r="CE24"/>
  <c r="CA16"/>
  <c r="CB16"/>
  <c r="CC16"/>
  <c r="CD16"/>
  <c r="CE16"/>
  <c r="CA13"/>
  <c r="CB13"/>
  <c r="CC13"/>
  <c r="CD13"/>
  <c r="CE13"/>
  <c r="CA10"/>
  <c r="CB10"/>
  <c r="CC10"/>
  <c r="CD10"/>
  <c r="CE10"/>
  <c r="CF10"/>
  <c r="CA7"/>
  <c r="CB7"/>
  <c r="CC7"/>
  <c r="CD7"/>
  <c r="CE7"/>
  <c r="CF7"/>
  <c r="CA47"/>
  <c r="CG47" s="1"/>
  <c r="DM113" l="1"/>
  <c r="DK113"/>
  <c r="DN79"/>
  <c r="DL79"/>
  <c r="DM134"/>
  <c r="DK134"/>
  <c r="DM52"/>
  <c r="DK52"/>
  <c r="DN82"/>
  <c r="DL82"/>
  <c r="DM48"/>
  <c r="DM298"/>
  <c r="DM163"/>
  <c r="DM192"/>
  <c r="DN258"/>
  <c r="DL180"/>
  <c r="DL216"/>
  <c r="DL118"/>
  <c r="DL151"/>
  <c r="DN220"/>
  <c r="DM153"/>
  <c r="DM234"/>
  <c r="DN245"/>
  <c r="DL150"/>
  <c r="DL121"/>
  <c r="DK208"/>
  <c r="DM173"/>
  <c r="DN295"/>
  <c r="DN246"/>
  <c r="DL295"/>
  <c r="DK153"/>
  <c r="DK163"/>
  <c r="DM126"/>
  <c r="DM149"/>
  <c r="DL158"/>
  <c r="DK298"/>
  <c r="DL149"/>
  <c r="DL294"/>
  <c r="DK190"/>
  <c r="DK259"/>
  <c r="DM155"/>
  <c r="DM58"/>
  <c r="DM180"/>
  <c r="DN216"/>
  <c r="DN153"/>
  <c r="DM172"/>
  <c r="DL75"/>
  <c r="DN75"/>
  <c r="DL50"/>
  <c r="DN50"/>
  <c r="DM146"/>
  <c r="DK146"/>
  <c r="DN190"/>
  <c r="DN237"/>
  <c r="DN214"/>
  <c r="DM208"/>
  <c r="DN149"/>
  <c r="DL152"/>
  <c r="DL237"/>
  <c r="DL64"/>
  <c r="DK172"/>
  <c r="DK255"/>
  <c r="DM295"/>
  <c r="DN259"/>
  <c r="DN297"/>
  <c r="DM148"/>
  <c r="DL297"/>
  <c r="DL220"/>
  <c r="DL245"/>
  <c r="DK250"/>
  <c r="DK214"/>
  <c r="DK48"/>
  <c r="DK216"/>
  <c r="DM206"/>
  <c r="DM151"/>
  <c r="DM291"/>
  <c r="DL291"/>
  <c r="DK245"/>
  <c r="DK206"/>
  <c r="DK297"/>
  <c r="DM259"/>
  <c r="DM84"/>
  <c r="DL183"/>
  <c r="DL243"/>
  <c r="DK234"/>
  <c r="DK128"/>
  <c r="DK192"/>
  <c r="DN172"/>
  <c r="DM214"/>
  <c r="DM216"/>
  <c r="DM212"/>
  <c r="DN152"/>
  <c r="DN118"/>
  <c r="DM237"/>
  <c r="DM246"/>
  <c r="DL69"/>
  <c r="DM117"/>
  <c r="DK117"/>
  <c r="DM97"/>
  <c r="DK97"/>
  <c r="DK5"/>
  <c r="DK7" s="1"/>
  <c r="DM5"/>
  <c r="DN234"/>
  <c r="DM252"/>
  <c r="DN121"/>
  <c r="DN247"/>
  <c r="DM189"/>
  <c r="DL148"/>
  <c r="DL292"/>
  <c r="DL258"/>
  <c r="DK237"/>
  <c r="DK252"/>
  <c r="DK246"/>
  <c r="DN192"/>
  <c r="DN183"/>
  <c r="DN294"/>
  <c r="DM250"/>
  <c r="DL234"/>
  <c r="DL190"/>
  <c r="DL247"/>
  <c r="DK243"/>
  <c r="DK148"/>
  <c r="DK247"/>
  <c r="DK154"/>
  <c r="DN255"/>
  <c r="DM150"/>
  <c r="DN212"/>
  <c r="DL214"/>
  <c r="DL212"/>
  <c r="DK165"/>
  <c r="DK173"/>
  <c r="DK212"/>
  <c r="DK180"/>
  <c r="DL173"/>
  <c r="DL192"/>
  <c r="DK149"/>
  <c r="DK189"/>
  <c r="DK126"/>
  <c r="DN252"/>
  <c r="DM243"/>
  <c r="DM154"/>
  <c r="DM165"/>
  <c r="DN148"/>
  <c r="DN292"/>
  <c r="DM258"/>
  <c r="DM183"/>
  <c r="DM221"/>
  <c r="DK221"/>
  <c r="DM128"/>
  <c r="DM245"/>
  <c r="DM152"/>
  <c r="DM297"/>
  <c r="DN151"/>
  <c r="DM176"/>
  <c r="DM138"/>
  <c r="DK138"/>
  <c r="DL154"/>
  <c r="DL153"/>
  <c r="DK258"/>
  <c r="DK152"/>
  <c r="DK183"/>
  <c r="DN173"/>
  <c r="DM190"/>
  <c r="DL252"/>
  <c r="DL172"/>
  <c r="DK158"/>
  <c r="DK155"/>
  <c r="DK176"/>
  <c r="DK58"/>
  <c r="DN155"/>
  <c r="DN243"/>
  <c r="DL246"/>
  <c r="DL155"/>
  <c r="DK295"/>
  <c r="DK151"/>
  <c r="DK150"/>
  <c r="DN158"/>
  <c r="DN251"/>
  <c r="DL259"/>
  <c r="DL251"/>
  <c r="DL255"/>
  <c r="DK84"/>
  <c r="DK291"/>
  <c r="DN150"/>
  <c r="DM158"/>
  <c r="DM247"/>
  <c r="DN180"/>
  <c r="DN154"/>
  <c r="DN64"/>
  <c r="DM255"/>
  <c r="CS262"/>
  <c r="DG109"/>
  <c r="CX233"/>
  <c r="CX235" s="1"/>
  <c r="DJ165"/>
  <c r="CU288"/>
  <c r="DJ26"/>
  <c r="DN26" s="1"/>
  <c r="DG70"/>
  <c r="CU271"/>
  <c r="DJ95"/>
  <c r="CU185"/>
  <c r="CV262"/>
  <c r="CT135"/>
  <c r="DB233"/>
  <c r="DE55"/>
  <c r="DI55" s="1"/>
  <c r="CW56"/>
  <c r="DE100"/>
  <c r="DI100" s="1"/>
  <c r="DA242"/>
  <c r="CW248"/>
  <c r="DE292"/>
  <c r="DI292" s="1"/>
  <c r="DA60"/>
  <c r="DF100"/>
  <c r="DJ100" s="1"/>
  <c r="DB70"/>
  <c r="CX71"/>
  <c r="DB99"/>
  <c r="CX101"/>
  <c r="DG260"/>
  <c r="DG110"/>
  <c r="DF231"/>
  <c r="DF208"/>
  <c r="DF209" s="1"/>
  <c r="DB209"/>
  <c r="DF261"/>
  <c r="DE167"/>
  <c r="DA168"/>
  <c r="DA187"/>
  <c r="DE186"/>
  <c r="DE187" s="1"/>
  <c r="DE182"/>
  <c r="DA184"/>
  <c r="DE227"/>
  <c r="DA228"/>
  <c r="DB257"/>
  <c r="CX260"/>
  <c r="DH101"/>
  <c r="DH96"/>
  <c r="CV98"/>
  <c r="DH271"/>
  <c r="DF250"/>
  <c r="DB253"/>
  <c r="DG46"/>
  <c r="CU49"/>
  <c r="DB137"/>
  <c r="CX139"/>
  <c r="DA272"/>
  <c r="CW286"/>
  <c r="CW288" s="1"/>
  <c r="DG139"/>
  <c r="DG191"/>
  <c r="DB63"/>
  <c r="CX65"/>
  <c r="DH105"/>
  <c r="CV107"/>
  <c r="DG209"/>
  <c r="DG217"/>
  <c r="DJ33"/>
  <c r="DN33" s="1"/>
  <c r="DH56"/>
  <c r="DG187"/>
  <c r="DF67"/>
  <c r="DB68"/>
  <c r="DA238"/>
  <c r="DE236"/>
  <c r="DE238" s="1"/>
  <c r="DA164"/>
  <c r="DE162"/>
  <c r="DH256"/>
  <c r="CW69"/>
  <c r="DG69"/>
  <c r="CU71"/>
  <c r="DA209"/>
  <c r="DE207"/>
  <c r="DE209" s="1"/>
  <c r="DA107"/>
  <c r="DE105"/>
  <c r="DI105" s="1"/>
  <c r="CH235"/>
  <c r="CU240"/>
  <c r="CV89"/>
  <c r="CX56"/>
  <c r="CW101"/>
  <c r="DE47"/>
  <c r="DI47" s="1"/>
  <c r="DA34"/>
  <c r="CW36"/>
  <c r="DA83"/>
  <c r="CW85"/>
  <c r="DE129"/>
  <c r="DA67"/>
  <c r="CW68"/>
  <c r="DA46"/>
  <c r="CW49"/>
  <c r="CW256"/>
  <c r="DF55"/>
  <c r="DJ55" s="1"/>
  <c r="DF84"/>
  <c r="DJ84" s="1"/>
  <c r="DB266"/>
  <c r="CX271"/>
  <c r="DF106"/>
  <c r="DJ106" s="1"/>
  <c r="DF206"/>
  <c r="DJ206" s="1"/>
  <c r="DF128"/>
  <c r="DJ128" s="1"/>
  <c r="DI120"/>
  <c r="DH260"/>
  <c r="DJ218"/>
  <c r="DH221"/>
  <c r="DH139"/>
  <c r="DB171"/>
  <c r="CX174"/>
  <c r="DH217"/>
  <c r="DG286"/>
  <c r="DG288" s="1"/>
  <c r="DF211"/>
  <c r="DB213"/>
  <c r="DB217"/>
  <c r="DF215"/>
  <c r="DF217" s="1"/>
  <c r="DF182"/>
  <c r="DB184"/>
  <c r="DA269"/>
  <c r="DE267"/>
  <c r="DI267" s="1"/>
  <c r="DA174"/>
  <c r="DE171"/>
  <c r="DA104"/>
  <c r="DE102"/>
  <c r="DE104" s="1"/>
  <c r="DH156"/>
  <c r="DG83"/>
  <c r="CU85"/>
  <c r="DH65"/>
  <c r="DI7"/>
  <c r="DM7" s="1"/>
  <c r="DF122"/>
  <c r="DJ120"/>
  <c r="DA160"/>
  <c r="DE159"/>
  <c r="DE211"/>
  <c r="DA213"/>
  <c r="DJ110"/>
  <c r="DB263"/>
  <c r="CX265"/>
  <c r="DG263"/>
  <c r="CU265"/>
  <c r="DI96"/>
  <c r="DG98"/>
  <c r="CU110"/>
  <c r="DJ231"/>
  <c r="CW185"/>
  <c r="CU223"/>
  <c r="CW240"/>
  <c r="CW107"/>
  <c r="DA263"/>
  <c r="CW265"/>
  <c r="DE54"/>
  <c r="DI54" s="1"/>
  <c r="DE45"/>
  <c r="DI45" s="1"/>
  <c r="DE251"/>
  <c r="DI251" s="1"/>
  <c r="DE64"/>
  <c r="DI64" s="1"/>
  <c r="DE118"/>
  <c r="DI118" s="1"/>
  <c r="DE294"/>
  <c r="DI294" s="1"/>
  <c r="DF54"/>
  <c r="DJ54" s="1"/>
  <c r="DN54" s="1"/>
  <c r="DF129"/>
  <c r="DH233"/>
  <c r="CV235"/>
  <c r="DB159"/>
  <c r="CX160"/>
  <c r="DJ208"/>
  <c r="DN208" s="1"/>
  <c r="DH209"/>
  <c r="DG269"/>
  <c r="DG271" s="1"/>
  <c r="DG156"/>
  <c r="DG185" s="1"/>
  <c r="DG235"/>
  <c r="DF227"/>
  <c r="DB228"/>
  <c r="DF219"/>
  <c r="DB221"/>
  <c r="DA217"/>
  <c r="DE215"/>
  <c r="DE217" s="1"/>
  <c r="DA235"/>
  <c r="DE233"/>
  <c r="DE235" s="1"/>
  <c r="DE261"/>
  <c r="DE86"/>
  <c r="DI86" s="1"/>
  <c r="DF126"/>
  <c r="DJ126" s="1"/>
  <c r="DH102"/>
  <c r="CV104"/>
  <c r="CU256"/>
  <c r="DF189"/>
  <c r="DB191"/>
  <c r="DA156"/>
  <c r="DE147"/>
  <c r="DE156" s="1"/>
  <c r="DH174"/>
  <c r="DJ117"/>
  <c r="DJ52"/>
  <c r="DJ62"/>
  <c r="DG60"/>
  <c r="DG68"/>
  <c r="DH160"/>
  <c r="DG104"/>
  <c r="DJ249"/>
  <c r="DH253"/>
  <c r="DG59"/>
  <c r="DH265"/>
  <c r="DA249"/>
  <c r="CW253"/>
  <c r="DG107"/>
  <c r="DB85"/>
  <c r="DF83"/>
  <c r="DF85" s="1"/>
  <c r="DA260"/>
  <c r="DE257"/>
  <c r="DE260" s="1"/>
  <c r="DA65"/>
  <c r="DE63"/>
  <c r="DF86"/>
  <c r="DE108"/>
  <c r="DI108" s="1"/>
  <c r="DG56"/>
  <c r="CW269"/>
  <c r="CW271" s="1"/>
  <c r="DA299"/>
  <c r="CW308"/>
  <c r="DE106"/>
  <c r="DI106" s="1"/>
  <c r="DE94"/>
  <c r="DI94" s="1"/>
  <c r="DE296"/>
  <c r="DI296" s="1"/>
  <c r="DE231"/>
  <c r="DI231" s="1"/>
  <c r="DE268"/>
  <c r="DI268" s="1"/>
  <c r="DB105"/>
  <c r="CX107"/>
  <c r="DB102"/>
  <c r="CX104"/>
  <c r="DB147"/>
  <c r="CX156"/>
  <c r="CX185" s="1"/>
  <c r="DF138"/>
  <c r="DJ138" s="1"/>
  <c r="DF94"/>
  <c r="DJ94" s="1"/>
  <c r="DH71"/>
  <c r="DG238"/>
  <c r="DI236"/>
  <c r="DM236" s="1"/>
  <c r="DG101"/>
  <c r="DH85"/>
  <c r="DA188"/>
  <c r="CW191"/>
  <c r="CW223" s="1"/>
  <c r="DF167"/>
  <c r="DB168"/>
  <c r="DB56"/>
  <c r="DF56"/>
  <c r="DF242"/>
  <c r="DB248"/>
  <c r="DA59"/>
  <c r="DE57"/>
  <c r="DE59" s="1"/>
  <c r="DA139"/>
  <c r="DE137"/>
  <c r="DE139" s="1"/>
  <c r="DG248"/>
  <c r="DA101"/>
  <c r="DE99"/>
  <c r="DE101" s="1"/>
  <c r="DH188"/>
  <c r="CV191"/>
  <c r="CX236"/>
  <c r="DH236"/>
  <c r="CV238"/>
  <c r="DG308"/>
  <c r="DG36"/>
  <c r="DB286"/>
  <c r="DF272"/>
  <c r="DJ272" s="1"/>
  <c r="DG253"/>
  <c r="CX256"/>
  <c r="DH186"/>
  <c r="CV187"/>
  <c r="DF308"/>
  <c r="DJ298"/>
  <c r="CL89"/>
  <c r="CU135"/>
  <c r="CX223"/>
  <c r="CX85"/>
  <c r="CX89" s="1"/>
  <c r="CW65"/>
  <c r="CT89"/>
  <c r="CT310" s="1"/>
  <c r="DA95"/>
  <c r="DA121"/>
  <c r="CG235"/>
  <c r="CH217"/>
  <c r="CG134"/>
  <c r="CH59"/>
  <c r="CG29"/>
  <c r="CG16"/>
  <c r="CG13"/>
  <c r="CG10"/>
  <c r="CH269"/>
  <c r="CH271" s="1"/>
  <c r="CG125"/>
  <c r="CG122"/>
  <c r="CW122"/>
  <c r="CW70"/>
  <c r="DA70" s="1"/>
  <c r="CG308"/>
  <c r="CG52"/>
  <c r="CH29"/>
  <c r="CW109"/>
  <c r="CA187"/>
  <c r="CI262"/>
  <c r="CH62"/>
  <c r="CJ223"/>
  <c r="CG265"/>
  <c r="CG256"/>
  <c r="CG238"/>
  <c r="CG228"/>
  <c r="CH134"/>
  <c r="CH125"/>
  <c r="CH122"/>
  <c r="CH16"/>
  <c r="CH13"/>
  <c r="CH10"/>
  <c r="CE26"/>
  <c r="CQ61"/>
  <c r="CQ62" s="1"/>
  <c r="CQ89" s="1"/>
  <c r="CQ310" s="1"/>
  <c r="CJ262"/>
  <c r="CK185"/>
  <c r="CK288"/>
  <c r="CL288"/>
  <c r="CE240"/>
  <c r="CA240"/>
  <c r="CH308"/>
  <c r="CL185"/>
  <c r="CB89"/>
  <c r="CB135"/>
  <c r="CE185"/>
  <c r="CA185"/>
  <c r="CB223"/>
  <c r="CB240"/>
  <c r="CC262"/>
  <c r="CG269"/>
  <c r="CG248"/>
  <c r="CG221"/>
  <c r="CG217"/>
  <c r="CG191"/>
  <c r="CH179"/>
  <c r="CH164"/>
  <c r="CH160"/>
  <c r="CH142"/>
  <c r="CH139"/>
  <c r="CH113"/>
  <c r="CH110"/>
  <c r="CH107"/>
  <c r="CH104"/>
  <c r="CH101"/>
  <c r="CH98"/>
  <c r="CH93"/>
  <c r="CH85"/>
  <c r="CH82"/>
  <c r="CH75"/>
  <c r="CH71"/>
  <c r="CH68"/>
  <c r="CH65"/>
  <c r="CG59"/>
  <c r="CI240"/>
  <c r="CO310"/>
  <c r="CC89"/>
  <c r="CC135"/>
  <c r="CB185"/>
  <c r="CC223"/>
  <c r="CC240"/>
  <c r="CD262"/>
  <c r="CH248"/>
  <c r="CH221"/>
  <c r="CH191"/>
  <c r="CG184"/>
  <c r="CG79"/>
  <c r="CJ135"/>
  <c r="CJ240"/>
  <c r="CD89"/>
  <c r="CD135"/>
  <c r="CC185"/>
  <c r="CD223"/>
  <c r="CD240"/>
  <c r="CE262"/>
  <c r="CA262"/>
  <c r="CG288"/>
  <c r="CG260"/>
  <c r="CG253"/>
  <c r="CH184"/>
  <c r="CH79"/>
  <c r="CG56"/>
  <c r="CI223"/>
  <c r="CE135"/>
  <c r="CA135"/>
  <c r="CD185"/>
  <c r="CE223"/>
  <c r="CA223"/>
  <c r="CB262"/>
  <c r="CH288"/>
  <c r="CH265"/>
  <c r="CH260"/>
  <c r="CH256"/>
  <c r="CH253"/>
  <c r="CH238"/>
  <c r="CH228"/>
  <c r="CG179"/>
  <c r="CG164"/>
  <c r="CG160"/>
  <c r="CG142"/>
  <c r="CG139"/>
  <c r="CG113"/>
  <c r="CG110"/>
  <c r="CG107"/>
  <c r="CG104"/>
  <c r="CG101"/>
  <c r="CG98"/>
  <c r="CG93"/>
  <c r="CG85"/>
  <c r="CG82"/>
  <c r="CG75"/>
  <c r="CG71"/>
  <c r="CG68"/>
  <c r="CG65"/>
  <c r="CH56"/>
  <c r="CH52"/>
  <c r="CE89"/>
  <c r="CG62"/>
  <c r="CG271"/>
  <c r="CF89"/>
  <c r="CF310" s="1"/>
  <c r="CH213"/>
  <c r="CH209"/>
  <c r="CH195"/>
  <c r="CH174"/>
  <c r="CH168"/>
  <c r="CH156"/>
  <c r="CH117"/>
  <c r="CH43"/>
  <c r="CH39"/>
  <c r="CH36"/>
  <c r="CL240"/>
  <c r="CK62"/>
  <c r="CG205"/>
  <c r="CG146"/>
  <c r="CG49"/>
  <c r="CG33"/>
  <c r="CG24"/>
  <c r="CG26" s="1"/>
  <c r="CH205"/>
  <c r="CH146"/>
  <c r="CH49"/>
  <c r="CH33"/>
  <c r="CH24"/>
  <c r="CH26" s="1"/>
  <c r="CA49"/>
  <c r="CA89" s="1"/>
  <c r="CG213"/>
  <c r="CG209"/>
  <c r="CG195"/>
  <c r="CG174"/>
  <c r="CG168"/>
  <c r="CG156"/>
  <c r="CG117"/>
  <c r="CG43"/>
  <c r="CG39"/>
  <c r="CG36"/>
  <c r="CK240"/>
  <c r="CL271"/>
  <c r="CK135"/>
  <c r="CK271"/>
  <c r="CK262"/>
  <c r="CL223"/>
  <c r="CK223"/>
  <c r="CJ310"/>
  <c r="CI89"/>
  <c r="CL135"/>
  <c r="CI135"/>
  <c r="DN117" l="1"/>
  <c r="DL117"/>
  <c r="DN120"/>
  <c r="DL120"/>
  <c r="DM294"/>
  <c r="DN128"/>
  <c r="DK100"/>
  <c r="DN138"/>
  <c r="DN126"/>
  <c r="DL54"/>
  <c r="DK55"/>
  <c r="DN84"/>
  <c r="DL55"/>
  <c r="DK251"/>
  <c r="DN100"/>
  <c r="DK236"/>
  <c r="DL206"/>
  <c r="DK54"/>
  <c r="DN106"/>
  <c r="DM105"/>
  <c r="DM94"/>
  <c r="DM251"/>
  <c r="DL52"/>
  <c r="DN52"/>
  <c r="DN110"/>
  <c r="DL110"/>
  <c r="DK120"/>
  <c r="DM120"/>
  <c r="DN206"/>
  <c r="DM106"/>
  <c r="DM268"/>
  <c r="DN231"/>
  <c r="DK292"/>
  <c r="DL94"/>
  <c r="DK94"/>
  <c r="DL272"/>
  <c r="DK86"/>
  <c r="DL84"/>
  <c r="DK64"/>
  <c r="DM45"/>
  <c r="DL128"/>
  <c r="DK45"/>
  <c r="DM47"/>
  <c r="DM296"/>
  <c r="DM118"/>
  <c r="DL62"/>
  <c r="DN62"/>
  <c r="CU262"/>
  <c r="DK96"/>
  <c r="DM96"/>
  <c r="DN95"/>
  <c r="DL95"/>
  <c r="CX135"/>
  <c r="DK267"/>
  <c r="DK268"/>
  <c r="DN94"/>
  <c r="DL208"/>
  <c r="DK296"/>
  <c r="DN272"/>
  <c r="DM86"/>
  <c r="DM64"/>
  <c r="DL138"/>
  <c r="DK118"/>
  <c r="DM100"/>
  <c r="DM231"/>
  <c r="DN298"/>
  <c r="DL298"/>
  <c r="DL249"/>
  <c r="DN249"/>
  <c r="DL218"/>
  <c r="DN218"/>
  <c r="DL165"/>
  <c r="DN165"/>
  <c r="DJ83"/>
  <c r="DJ85" s="1"/>
  <c r="DL85" s="1"/>
  <c r="DM267"/>
  <c r="DN55"/>
  <c r="DL106"/>
  <c r="DK47"/>
  <c r="DM54"/>
  <c r="DK105"/>
  <c r="DK231"/>
  <c r="DM108"/>
  <c r="DK294"/>
  <c r="DK106"/>
  <c r="DK108"/>
  <c r="DL126"/>
  <c r="DL231"/>
  <c r="DL100"/>
  <c r="DM292"/>
  <c r="DM55"/>
  <c r="DI215"/>
  <c r="DJ209"/>
  <c r="DL209" s="1"/>
  <c r="DI238"/>
  <c r="DK238" s="1"/>
  <c r="DJ56"/>
  <c r="CV135"/>
  <c r="DI207"/>
  <c r="CV240"/>
  <c r="CV223"/>
  <c r="CV310" s="1"/>
  <c r="DG135"/>
  <c r="DH185"/>
  <c r="DE70"/>
  <c r="DI70" s="1"/>
  <c r="DJ308"/>
  <c r="DB104"/>
  <c r="DF102"/>
  <c r="DF104" s="1"/>
  <c r="DB174"/>
  <c r="DF171"/>
  <c r="DJ171" s="1"/>
  <c r="DA185"/>
  <c r="DE95"/>
  <c r="DI95" s="1"/>
  <c r="DB256"/>
  <c r="DH191"/>
  <c r="DJ188"/>
  <c r="DA253"/>
  <c r="DE249"/>
  <c r="DI249" s="1"/>
  <c r="DJ102"/>
  <c r="DL102" s="1"/>
  <c r="DH104"/>
  <c r="DF221"/>
  <c r="DJ219"/>
  <c r="DB160"/>
  <c r="DF159"/>
  <c r="DF213"/>
  <c r="DJ211"/>
  <c r="DA36"/>
  <c r="DE34"/>
  <c r="DG49"/>
  <c r="DF253"/>
  <c r="DJ250"/>
  <c r="DE168"/>
  <c r="DI167"/>
  <c r="DJ261"/>
  <c r="DB235"/>
  <c r="DF233"/>
  <c r="DF235" s="1"/>
  <c r="DH89"/>
  <c r="DI57"/>
  <c r="DI102"/>
  <c r="DI233"/>
  <c r="DI269"/>
  <c r="DI271" s="1"/>
  <c r="DE269"/>
  <c r="DE271" s="1"/>
  <c r="DH262"/>
  <c r="DE107"/>
  <c r="DI186"/>
  <c r="CX262"/>
  <c r="DI257"/>
  <c r="DA109"/>
  <c r="CW110"/>
  <c r="CW135" s="1"/>
  <c r="DA191"/>
  <c r="DE188"/>
  <c r="DG265"/>
  <c r="DE160"/>
  <c r="DI159"/>
  <c r="DE67"/>
  <c r="DA68"/>
  <c r="DA286"/>
  <c r="DE272"/>
  <c r="DI272" s="1"/>
  <c r="DB101"/>
  <c r="DF99"/>
  <c r="DE60"/>
  <c r="DI60" s="1"/>
  <c r="DA56"/>
  <c r="DJ186"/>
  <c r="DH187"/>
  <c r="DB288"/>
  <c r="DB236"/>
  <c r="CX238"/>
  <c r="CX240" s="1"/>
  <c r="DJ253"/>
  <c r="DN253" s="1"/>
  <c r="DG256"/>
  <c r="DG262" s="1"/>
  <c r="DH235"/>
  <c r="DJ129"/>
  <c r="DJ122"/>
  <c r="DF184"/>
  <c r="DJ182"/>
  <c r="DA85"/>
  <c r="DE83"/>
  <c r="DE85" s="1"/>
  <c r="DA69"/>
  <c r="CW71"/>
  <c r="DF68"/>
  <c r="DJ67"/>
  <c r="DB139"/>
  <c r="DF137"/>
  <c r="DE184"/>
  <c r="DI182"/>
  <c r="DI99"/>
  <c r="DI147"/>
  <c r="CW262"/>
  <c r="DG223"/>
  <c r="DE121"/>
  <c r="DA122"/>
  <c r="DF168"/>
  <c r="DJ167"/>
  <c r="DE299"/>
  <c r="DA308"/>
  <c r="DE65"/>
  <c r="DI63"/>
  <c r="DF191"/>
  <c r="DJ189"/>
  <c r="DA223"/>
  <c r="DE213"/>
  <c r="DI211"/>
  <c r="DE174"/>
  <c r="DI171"/>
  <c r="DJ221"/>
  <c r="DL221" s="1"/>
  <c r="DA256"/>
  <c r="DE256"/>
  <c r="DI129"/>
  <c r="DE164"/>
  <c r="DI162"/>
  <c r="DH107"/>
  <c r="DF286"/>
  <c r="DF288" s="1"/>
  <c r="DH238"/>
  <c r="DF248"/>
  <c r="DJ242"/>
  <c r="DB156"/>
  <c r="DF147"/>
  <c r="DB107"/>
  <c r="DF105"/>
  <c r="DF107" s="1"/>
  <c r="DJ86"/>
  <c r="DB223"/>
  <c r="DF228"/>
  <c r="DJ227"/>
  <c r="DA265"/>
  <c r="DE263"/>
  <c r="DE265" s="1"/>
  <c r="DI98"/>
  <c r="DB265"/>
  <c r="DF263"/>
  <c r="DI83"/>
  <c r="DM83" s="1"/>
  <c r="DG85"/>
  <c r="DA271"/>
  <c r="DF266"/>
  <c r="DB271"/>
  <c r="DE46"/>
  <c r="DE49" s="1"/>
  <c r="DA49"/>
  <c r="DG71"/>
  <c r="DA240"/>
  <c r="DB65"/>
  <c r="DF63"/>
  <c r="DJ63" s="1"/>
  <c r="DJ96"/>
  <c r="DH98"/>
  <c r="DB260"/>
  <c r="DF257"/>
  <c r="DE228"/>
  <c r="DE240" s="1"/>
  <c r="DI227"/>
  <c r="DF70"/>
  <c r="DB71"/>
  <c r="DE242"/>
  <c r="DA248"/>
  <c r="DG240"/>
  <c r="DI107"/>
  <c r="DK107" s="1"/>
  <c r="DJ215"/>
  <c r="DI261"/>
  <c r="DI137"/>
  <c r="CB310"/>
  <c r="CG262"/>
  <c r="CG240"/>
  <c r="CD310"/>
  <c r="CC310"/>
  <c r="CH135"/>
  <c r="CA310"/>
  <c r="CH240"/>
  <c r="CH89"/>
  <c r="CH262"/>
  <c r="CK89"/>
  <c r="CK310" s="1"/>
  <c r="CS61"/>
  <c r="CH223"/>
  <c r="CG89"/>
  <c r="CG185"/>
  <c r="CG223"/>
  <c r="CE310"/>
  <c r="CG135"/>
  <c r="CH185"/>
  <c r="CL310"/>
  <c r="CI310"/>
  <c r="DK271" l="1"/>
  <c r="DK261"/>
  <c r="DM261"/>
  <c r="DK98"/>
  <c r="DM98"/>
  <c r="DK162"/>
  <c r="DM162"/>
  <c r="DM211"/>
  <c r="DK211"/>
  <c r="DK99"/>
  <c r="DM99"/>
  <c r="DN182"/>
  <c r="DL182"/>
  <c r="DK159"/>
  <c r="DM159"/>
  <c r="DK57"/>
  <c r="DM57"/>
  <c r="DL188"/>
  <c r="DN188"/>
  <c r="DK207"/>
  <c r="DM207"/>
  <c r="DL83"/>
  <c r="DN83"/>
  <c r="DM107"/>
  <c r="DN221"/>
  <c r="DK272"/>
  <c r="DM95"/>
  <c r="DN209"/>
  <c r="DL253"/>
  <c r="DN102"/>
  <c r="DM238"/>
  <c r="DM137"/>
  <c r="DK137"/>
  <c r="DL227"/>
  <c r="DN227"/>
  <c r="DN242"/>
  <c r="DL242"/>
  <c r="DN189"/>
  <c r="DL189"/>
  <c r="DK147"/>
  <c r="DM147"/>
  <c r="DL129"/>
  <c r="DN129"/>
  <c r="DL186"/>
  <c r="DN186"/>
  <c r="DM257"/>
  <c r="DK257"/>
  <c r="DK102"/>
  <c r="DM102"/>
  <c r="DM167"/>
  <c r="DK167"/>
  <c r="DK215"/>
  <c r="DM215"/>
  <c r="DM70"/>
  <c r="DM272"/>
  <c r="DK83"/>
  <c r="DL56"/>
  <c r="DL171"/>
  <c r="DM271"/>
  <c r="DK269"/>
  <c r="DL96"/>
  <c r="DN96"/>
  <c r="DN86"/>
  <c r="DL86"/>
  <c r="DK129"/>
  <c r="DM129"/>
  <c r="DM171"/>
  <c r="DK171"/>
  <c r="DL122"/>
  <c r="DN122"/>
  <c r="DM233"/>
  <c r="DK233"/>
  <c r="DN261"/>
  <c r="DL261"/>
  <c r="DN211"/>
  <c r="DL211"/>
  <c r="DN219"/>
  <c r="DL219"/>
  <c r="DL63"/>
  <c r="DK249"/>
  <c r="DK60"/>
  <c r="DK70"/>
  <c r="DN171"/>
  <c r="DN85"/>
  <c r="DM269"/>
  <c r="DL215"/>
  <c r="DN215"/>
  <c r="DM227"/>
  <c r="DK227"/>
  <c r="DM63"/>
  <c r="DK63"/>
  <c r="DL167"/>
  <c r="DN167"/>
  <c r="DM182"/>
  <c r="DK182"/>
  <c r="DN67"/>
  <c r="DL67"/>
  <c r="DK69"/>
  <c r="DM69"/>
  <c r="DK186"/>
  <c r="DM186"/>
  <c r="DL250"/>
  <c r="DN250"/>
  <c r="DL308"/>
  <c r="DN308"/>
  <c r="DN63"/>
  <c r="DM249"/>
  <c r="DK95"/>
  <c r="DM60"/>
  <c r="DN56"/>
  <c r="DI85"/>
  <c r="DM85" s="1"/>
  <c r="DJ104"/>
  <c r="DL104" s="1"/>
  <c r="DI217"/>
  <c r="DI209"/>
  <c r="DH223"/>
  <c r="DA262"/>
  <c r="DH240"/>
  <c r="DJ233"/>
  <c r="CX310"/>
  <c r="DF265"/>
  <c r="DJ263"/>
  <c r="DJ68"/>
  <c r="DJ184"/>
  <c r="DE56"/>
  <c r="DI104"/>
  <c r="DE36"/>
  <c r="DI34"/>
  <c r="DB89"/>
  <c r="DF65"/>
  <c r="DI174"/>
  <c r="DI65"/>
  <c r="DI121"/>
  <c r="DE122"/>
  <c r="DI156"/>
  <c r="DI184"/>
  <c r="DF139"/>
  <c r="DJ137"/>
  <c r="DB238"/>
  <c r="DF236"/>
  <c r="DJ187"/>
  <c r="DE191"/>
  <c r="DE223" s="1"/>
  <c r="DI188"/>
  <c r="DE109"/>
  <c r="DA110"/>
  <c r="DI187"/>
  <c r="DI59"/>
  <c r="DJ105"/>
  <c r="DI263"/>
  <c r="DI46"/>
  <c r="DF271"/>
  <c r="DJ266"/>
  <c r="DE253"/>
  <c r="DI139"/>
  <c r="DE248"/>
  <c r="DI242"/>
  <c r="DB262"/>
  <c r="DF156"/>
  <c r="DJ147"/>
  <c r="DI213"/>
  <c r="DE286"/>
  <c r="DE288" s="1"/>
  <c r="DI160"/>
  <c r="DJ213"/>
  <c r="DF160"/>
  <c r="DJ159"/>
  <c r="DJ191"/>
  <c r="DF256"/>
  <c r="DH135"/>
  <c r="DH310" s="1"/>
  <c r="DF223"/>
  <c r="DJ217"/>
  <c r="DF71"/>
  <c r="DJ70"/>
  <c r="DJ168"/>
  <c r="DA71"/>
  <c r="DE69"/>
  <c r="DA288"/>
  <c r="DI168"/>
  <c r="CU61"/>
  <c r="CS62"/>
  <c r="CS89" s="1"/>
  <c r="CS310" s="1"/>
  <c r="DI228"/>
  <c r="DF260"/>
  <c r="DJ257"/>
  <c r="DJ98"/>
  <c r="DJ228"/>
  <c r="DJ248"/>
  <c r="DJ286"/>
  <c r="DI164"/>
  <c r="DE308"/>
  <c r="DI299"/>
  <c r="DI101"/>
  <c r="DF101"/>
  <c r="DF135" s="1"/>
  <c r="DJ99"/>
  <c r="DE68"/>
  <c r="DI67"/>
  <c r="DI260"/>
  <c r="DI235"/>
  <c r="DF174"/>
  <c r="DB135"/>
  <c r="DE185"/>
  <c r="DB185"/>
  <c r="CH310"/>
  <c r="CG310"/>
  <c r="BZ272"/>
  <c r="BW297"/>
  <c r="BW272"/>
  <c r="DK235" l="1"/>
  <c r="DM235"/>
  <c r="DN99"/>
  <c r="DL99"/>
  <c r="DM299"/>
  <c r="DK299"/>
  <c r="DN248"/>
  <c r="DL248"/>
  <c r="DM168"/>
  <c r="DK168"/>
  <c r="DL168"/>
  <c r="DN168"/>
  <c r="DN159"/>
  <c r="DL159"/>
  <c r="DM263"/>
  <c r="DK263"/>
  <c r="DA135"/>
  <c r="DL187"/>
  <c r="DN187"/>
  <c r="DM121"/>
  <c r="DK121"/>
  <c r="DF262"/>
  <c r="DE262"/>
  <c r="DN104"/>
  <c r="DK85"/>
  <c r="DM67"/>
  <c r="DK67"/>
  <c r="DK101"/>
  <c r="DM101"/>
  <c r="DN286"/>
  <c r="DL286"/>
  <c r="DL257"/>
  <c r="DN257"/>
  <c r="DN217"/>
  <c r="DL217"/>
  <c r="DN191"/>
  <c r="DL191"/>
  <c r="DK160"/>
  <c r="DM160"/>
  <c r="DK139"/>
  <c r="DM139"/>
  <c r="DM46"/>
  <c r="DK46"/>
  <c r="DK49" s="1"/>
  <c r="DM187"/>
  <c r="DK187"/>
  <c r="DN137"/>
  <c r="DL137"/>
  <c r="DM104"/>
  <c r="DK104"/>
  <c r="DN263"/>
  <c r="DL263"/>
  <c r="DL233"/>
  <c r="DN233"/>
  <c r="DM209"/>
  <c r="DK209"/>
  <c r="DK260"/>
  <c r="DM260"/>
  <c r="DK164"/>
  <c r="DM164"/>
  <c r="DL98"/>
  <c r="DN98"/>
  <c r="DN213"/>
  <c r="DL213"/>
  <c r="DN147"/>
  <c r="DL147"/>
  <c r="DM59"/>
  <c r="DK59"/>
  <c r="DM188"/>
  <c r="DK188"/>
  <c r="DK156"/>
  <c r="DM156"/>
  <c r="DK174"/>
  <c r="DM174"/>
  <c r="DN68"/>
  <c r="DL68"/>
  <c r="DN228"/>
  <c r="DL228"/>
  <c r="DM228"/>
  <c r="DK228"/>
  <c r="DL70"/>
  <c r="DN70"/>
  <c r="DM213"/>
  <c r="DK213"/>
  <c r="DM242"/>
  <c r="DK242"/>
  <c r="DL266"/>
  <c r="DN266"/>
  <c r="DL105"/>
  <c r="DN105"/>
  <c r="DM184"/>
  <c r="DK184"/>
  <c r="DK65"/>
  <c r="DM65"/>
  <c r="DM34"/>
  <c r="DK34"/>
  <c r="DK36" s="1"/>
  <c r="DL184"/>
  <c r="DN184"/>
  <c r="DM217"/>
  <c r="DK217"/>
  <c r="DF185"/>
  <c r="DJ235"/>
  <c r="CW61"/>
  <c r="DG61"/>
  <c r="CU62"/>
  <c r="DJ160"/>
  <c r="DI256"/>
  <c r="DJ101"/>
  <c r="DJ260"/>
  <c r="DE71"/>
  <c r="DI265"/>
  <c r="DJ107"/>
  <c r="DB240"/>
  <c r="DJ65"/>
  <c r="DI36"/>
  <c r="DM36" s="1"/>
  <c r="DI56"/>
  <c r="DI49"/>
  <c r="DM49" s="1"/>
  <c r="DI191"/>
  <c r="DI223" s="1"/>
  <c r="DI122"/>
  <c r="DJ288"/>
  <c r="DI240"/>
  <c r="DI286"/>
  <c r="DJ156"/>
  <c r="DI248"/>
  <c r="DI253"/>
  <c r="DI109"/>
  <c r="DE110"/>
  <c r="DE135" s="1"/>
  <c r="DF238"/>
  <c r="DF240" s="1"/>
  <c r="DJ236"/>
  <c r="DJ71"/>
  <c r="DJ256"/>
  <c r="DJ271"/>
  <c r="DI185"/>
  <c r="DJ174"/>
  <c r="DI68"/>
  <c r="DI308"/>
  <c r="DJ139"/>
  <c r="DJ265"/>
  <c r="DF89"/>
  <c r="DJ223"/>
  <c r="BW218"/>
  <c r="BW31"/>
  <c r="BX192"/>
  <c r="BX186"/>
  <c r="BX105"/>
  <c r="DL271" l="1"/>
  <c r="DN271"/>
  <c r="DN223"/>
  <c r="DL223"/>
  <c r="DM223"/>
  <c r="DK223"/>
  <c r="DN139"/>
  <c r="DL139"/>
  <c r="DN174"/>
  <c r="DL174"/>
  <c r="DL71"/>
  <c r="DN71"/>
  <c r="DM109"/>
  <c r="DK109"/>
  <c r="DM286"/>
  <c r="DK286"/>
  <c r="DM191"/>
  <c r="DK191"/>
  <c r="DN65"/>
  <c r="DL65"/>
  <c r="DN160"/>
  <c r="DL160"/>
  <c r="DL235"/>
  <c r="DN235"/>
  <c r="DM68"/>
  <c r="DK68"/>
  <c r="DN156"/>
  <c r="DL156"/>
  <c r="DM122"/>
  <c r="DK122"/>
  <c r="DM265"/>
  <c r="DK265"/>
  <c r="DK256"/>
  <c r="DM256"/>
  <c r="DM248"/>
  <c r="DK248"/>
  <c r="DL288"/>
  <c r="DN288"/>
  <c r="DM56"/>
  <c r="DK56"/>
  <c r="DN107"/>
  <c r="DL107"/>
  <c r="DN101"/>
  <c r="DL101"/>
  <c r="DN265"/>
  <c r="DL265"/>
  <c r="DN256"/>
  <c r="DL256"/>
  <c r="DM308"/>
  <c r="DK308"/>
  <c r="DM185"/>
  <c r="DK185"/>
  <c r="DN236"/>
  <c r="DL236"/>
  <c r="DM253"/>
  <c r="DK253"/>
  <c r="DK240"/>
  <c r="DM240"/>
  <c r="DN260"/>
  <c r="DL260"/>
  <c r="DI262"/>
  <c r="CU89"/>
  <c r="DF310"/>
  <c r="DJ238"/>
  <c r="DI110"/>
  <c r="DI288"/>
  <c r="DJ262"/>
  <c r="DG62"/>
  <c r="DG89" s="1"/>
  <c r="DG310" s="1"/>
  <c r="DJ185"/>
  <c r="DJ89"/>
  <c r="DJ135"/>
  <c r="DB310"/>
  <c r="DI71"/>
  <c r="DA61"/>
  <c r="CW62"/>
  <c r="CW89" s="1"/>
  <c r="CW310" s="1"/>
  <c r="BW299"/>
  <c r="BW45"/>
  <c r="BW219"/>
  <c r="BW298"/>
  <c r="BW177"/>
  <c r="DL135" l="1"/>
  <c r="DN135"/>
  <c r="DN262"/>
  <c r="DL262"/>
  <c r="DN238"/>
  <c r="DL238"/>
  <c r="DK262"/>
  <c r="DM262"/>
  <c r="DM71"/>
  <c r="DK71"/>
  <c r="DN185"/>
  <c r="DL185"/>
  <c r="DI135"/>
  <c r="DM110"/>
  <c r="DK110"/>
  <c r="DN89"/>
  <c r="DL89"/>
  <c r="DM288"/>
  <c r="DK288"/>
  <c r="CU310"/>
  <c r="DJ240"/>
  <c r="DJ310" s="1"/>
  <c r="DE61"/>
  <c r="DA62"/>
  <c r="BY7"/>
  <c r="BZ7"/>
  <c r="BY10"/>
  <c r="BZ10"/>
  <c r="BY13"/>
  <c r="BZ13"/>
  <c r="BY16"/>
  <c r="BZ16"/>
  <c r="BY24"/>
  <c r="BY26" s="1"/>
  <c r="BZ24"/>
  <c r="BZ26" s="1"/>
  <c r="BY29"/>
  <c r="BZ29"/>
  <c r="BY33"/>
  <c r="BZ33"/>
  <c r="BY36"/>
  <c r="BZ36"/>
  <c r="BY39"/>
  <c r="BZ39"/>
  <c r="BY43"/>
  <c r="BZ43"/>
  <c r="BY49"/>
  <c r="BZ49"/>
  <c r="BY52"/>
  <c r="BZ52"/>
  <c r="BY56"/>
  <c r="BZ56"/>
  <c r="BY59"/>
  <c r="BZ59"/>
  <c r="BY62"/>
  <c r="BZ62"/>
  <c r="BY65"/>
  <c r="BZ65"/>
  <c r="BY68"/>
  <c r="BZ68"/>
  <c r="BY71"/>
  <c r="BZ71"/>
  <c r="BY79"/>
  <c r="BZ79"/>
  <c r="BY75"/>
  <c r="BZ75"/>
  <c r="BY82"/>
  <c r="BZ82"/>
  <c r="BY85"/>
  <c r="BZ85"/>
  <c r="BY93"/>
  <c r="BZ93"/>
  <c r="BY98"/>
  <c r="BZ98"/>
  <c r="BY101"/>
  <c r="BZ101"/>
  <c r="BY104"/>
  <c r="BZ104"/>
  <c r="BY107"/>
  <c r="BZ107"/>
  <c r="BY110"/>
  <c r="BZ110"/>
  <c r="BY113"/>
  <c r="BZ113"/>
  <c r="BY117"/>
  <c r="BZ117"/>
  <c r="BY122"/>
  <c r="BZ122"/>
  <c r="BY125"/>
  <c r="BZ125"/>
  <c r="BY134"/>
  <c r="BZ134"/>
  <c r="BY139"/>
  <c r="BZ139"/>
  <c r="BY142"/>
  <c r="BZ142"/>
  <c r="BY146"/>
  <c r="BZ146"/>
  <c r="BY156"/>
  <c r="BZ156"/>
  <c r="BY160"/>
  <c r="BZ160"/>
  <c r="BY164"/>
  <c r="BZ164"/>
  <c r="BY168"/>
  <c r="BZ168"/>
  <c r="BY174"/>
  <c r="BZ174"/>
  <c r="BY179"/>
  <c r="BZ179"/>
  <c r="BY184"/>
  <c r="BZ184"/>
  <c r="BY187"/>
  <c r="BZ187"/>
  <c r="BY191"/>
  <c r="BZ191"/>
  <c r="BY195"/>
  <c r="BZ195"/>
  <c r="BY205"/>
  <c r="BZ205"/>
  <c r="BY209"/>
  <c r="BZ209"/>
  <c r="BY213"/>
  <c r="BZ213"/>
  <c r="BY217"/>
  <c r="BZ217"/>
  <c r="BY221"/>
  <c r="BZ221"/>
  <c r="BX225"/>
  <c r="BY225"/>
  <c r="BZ225"/>
  <c r="BY228"/>
  <c r="BZ228"/>
  <c r="BY238"/>
  <c r="BZ238"/>
  <c r="BY248"/>
  <c r="BZ248"/>
  <c r="BY253"/>
  <c r="BZ253"/>
  <c r="BY256"/>
  <c r="BY260"/>
  <c r="BZ260"/>
  <c r="BY265"/>
  <c r="BZ265"/>
  <c r="BY269"/>
  <c r="BY271" s="1"/>
  <c r="BZ269"/>
  <c r="BZ271" s="1"/>
  <c r="BY286"/>
  <c r="BY288" s="1"/>
  <c r="BZ286"/>
  <c r="BZ288" s="1"/>
  <c r="BY290"/>
  <c r="BZ290"/>
  <c r="BY308"/>
  <c r="BZ308"/>
  <c r="DN310" l="1"/>
  <c r="DL310"/>
  <c r="DL240"/>
  <c r="DN240"/>
  <c r="DM135"/>
  <c r="DK135"/>
  <c r="DA89"/>
  <c r="DE62"/>
  <c r="DE89" s="1"/>
  <c r="DE310" s="1"/>
  <c r="DI61"/>
  <c r="BZ262"/>
  <c r="BZ240"/>
  <c r="BY185"/>
  <c r="BY262"/>
  <c r="BY223"/>
  <c r="BY240"/>
  <c r="BY135"/>
  <c r="BY89"/>
  <c r="BZ89"/>
  <c r="BZ135"/>
  <c r="BZ185"/>
  <c r="BZ223"/>
  <c r="BH193"/>
  <c r="BH194"/>
  <c r="BM2"/>
  <c r="DM61" l="1"/>
  <c r="DK61"/>
  <c r="DA310"/>
  <c r="DI62"/>
  <c r="BY310"/>
  <c r="BZ310"/>
  <c r="BW293"/>
  <c r="BX266"/>
  <c r="BX232"/>
  <c r="BX261"/>
  <c r="BX241"/>
  <c r="BX99"/>
  <c r="BX140"/>
  <c r="BX102"/>
  <c r="BX80"/>
  <c r="BX37"/>
  <c r="BX27"/>
  <c r="BX8"/>
  <c r="BW81"/>
  <c r="DM62" l="1"/>
  <c r="DK62"/>
  <c r="DI89"/>
  <c r="BU35"/>
  <c r="DM89" l="1"/>
  <c r="DK89"/>
  <c r="DI310"/>
  <c r="BW11"/>
  <c r="DM310" l="1"/>
  <c r="DK310"/>
  <c r="BW211"/>
  <c r="BW16" l="1"/>
  <c r="BX16"/>
  <c r="BU34" l="1"/>
  <c r="BJ2" l="1"/>
  <c r="BW308" l="1"/>
  <c r="BX308"/>
  <c r="BW290"/>
  <c r="BX290"/>
  <c r="BW286"/>
  <c r="BW288" s="1"/>
  <c r="BX286"/>
  <c r="BX288" s="1"/>
  <c r="BW269"/>
  <c r="BW271" s="1"/>
  <c r="BX269"/>
  <c r="BX271" s="1"/>
  <c r="BW265"/>
  <c r="BX265"/>
  <c r="BW260"/>
  <c r="BX260"/>
  <c r="BW256"/>
  <c r="BX256"/>
  <c r="BW253"/>
  <c r="BX253"/>
  <c r="BW248"/>
  <c r="BX248"/>
  <c r="BW238"/>
  <c r="BX238"/>
  <c r="BW228"/>
  <c r="BX228"/>
  <c r="BW225"/>
  <c r="BW221"/>
  <c r="BX221"/>
  <c r="BW217"/>
  <c r="BX217"/>
  <c r="BW213"/>
  <c r="BX213"/>
  <c r="BW209"/>
  <c r="BX209"/>
  <c r="BW205"/>
  <c r="BX205"/>
  <c r="BW195"/>
  <c r="BX195"/>
  <c r="BW191"/>
  <c r="BX191"/>
  <c r="BW187"/>
  <c r="BX187"/>
  <c r="BW184"/>
  <c r="BX184"/>
  <c r="BW179"/>
  <c r="BX179"/>
  <c r="BW174"/>
  <c r="BX174"/>
  <c r="BW168"/>
  <c r="BX168"/>
  <c r="BW164"/>
  <c r="BX164"/>
  <c r="BW160"/>
  <c r="BX160"/>
  <c r="BW156"/>
  <c r="BX156"/>
  <c r="BW146"/>
  <c r="BX146"/>
  <c r="BW142"/>
  <c r="BX142"/>
  <c r="BW139"/>
  <c r="BX139"/>
  <c r="BW134"/>
  <c r="BX134"/>
  <c r="BW125"/>
  <c r="BX125"/>
  <c r="BW122"/>
  <c r="BX122"/>
  <c r="BW117"/>
  <c r="BX117"/>
  <c r="BW113"/>
  <c r="BX113"/>
  <c r="BW110"/>
  <c r="BX110"/>
  <c r="BW107"/>
  <c r="BX107"/>
  <c r="BW104"/>
  <c r="BX104"/>
  <c r="BW101"/>
  <c r="BX101"/>
  <c r="BW98"/>
  <c r="BX98"/>
  <c r="BW93"/>
  <c r="BX93"/>
  <c r="BW85"/>
  <c r="BX85"/>
  <c r="BW82"/>
  <c r="BX82"/>
  <c r="BW79"/>
  <c r="BX79"/>
  <c r="BW75"/>
  <c r="BX75"/>
  <c r="BW71"/>
  <c r="BX71"/>
  <c r="BW68"/>
  <c r="BX68"/>
  <c r="BW65"/>
  <c r="BX65"/>
  <c r="BW62"/>
  <c r="BX62"/>
  <c r="BW59"/>
  <c r="BX59"/>
  <c r="BW56"/>
  <c r="BX56"/>
  <c r="BW52"/>
  <c r="BX52"/>
  <c r="BW49"/>
  <c r="BX49"/>
  <c r="BW43"/>
  <c r="BX43"/>
  <c r="BW39"/>
  <c r="BX39"/>
  <c r="BW36"/>
  <c r="BX36"/>
  <c r="BW33"/>
  <c r="BX33"/>
  <c r="BW29"/>
  <c r="BX29"/>
  <c r="BW24"/>
  <c r="BW26" s="1"/>
  <c r="BX24"/>
  <c r="BX26" s="1"/>
  <c r="BW13"/>
  <c r="BX13"/>
  <c r="BW10"/>
  <c r="BX10"/>
  <c r="BW7"/>
  <c r="BX7"/>
  <c r="BW240" l="1"/>
  <c r="BX240"/>
  <c r="BW262"/>
  <c r="BX262"/>
  <c r="BX223"/>
  <c r="BW135"/>
  <c r="BX185"/>
  <c r="BX135"/>
  <c r="BX89"/>
  <c r="BW223"/>
  <c r="BW185"/>
  <c r="BW89"/>
  <c r="BX310" l="1"/>
  <c r="BW310"/>
  <c r="BP186" l="1"/>
  <c r="BI2" l="1"/>
  <c r="BK2"/>
  <c r="BU116"/>
  <c r="BU129"/>
  <c r="BU16"/>
  <c r="BU290" l="1"/>
  <c r="BV265"/>
  <c r="BU265"/>
  <c r="BV181"/>
  <c r="BT44"/>
  <c r="BT45"/>
  <c r="BT46"/>
  <c r="BS44"/>
  <c r="BS45"/>
  <c r="BS46"/>
  <c r="BP308" l="1"/>
  <c r="BO308"/>
  <c r="BP290"/>
  <c r="BO290"/>
  <c r="BP265"/>
  <c r="BO265"/>
  <c r="BO225"/>
  <c r="BO82"/>
  <c r="BP82"/>
  <c r="BP24"/>
  <c r="BO24"/>
  <c r="BP13"/>
  <c r="BO13"/>
  <c r="BP256"/>
  <c r="BO256"/>
  <c r="BP253"/>
  <c r="BO253"/>
  <c r="BP248"/>
  <c r="BO248"/>
  <c r="BP286"/>
  <c r="BP288" s="1"/>
  <c r="BO286"/>
  <c r="BO288" s="1"/>
  <c r="BP269"/>
  <c r="BP271" s="1"/>
  <c r="BO269"/>
  <c r="BO271" s="1"/>
  <c r="BP260"/>
  <c r="BO260"/>
  <c r="BP238"/>
  <c r="BO238"/>
  <c r="BP228"/>
  <c r="BO228"/>
  <c r="BP221"/>
  <c r="BO221"/>
  <c r="BP217"/>
  <c r="BO217"/>
  <c r="BP213"/>
  <c r="BO213"/>
  <c r="BP209"/>
  <c r="BO209"/>
  <c r="BP205"/>
  <c r="BO205"/>
  <c r="BP195"/>
  <c r="BO195"/>
  <c r="BP191"/>
  <c r="BO191"/>
  <c r="BP187"/>
  <c r="BO187"/>
  <c r="BP184"/>
  <c r="BO184"/>
  <c r="BP179"/>
  <c r="BO179"/>
  <c r="BP174"/>
  <c r="BO174"/>
  <c r="BP168"/>
  <c r="BO168"/>
  <c r="BP164"/>
  <c r="BO164"/>
  <c r="BP160"/>
  <c r="BO160"/>
  <c r="BP156"/>
  <c r="BO156"/>
  <c r="BP146"/>
  <c r="BO146"/>
  <c r="BP142"/>
  <c r="BO142"/>
  <c r="BP139"/>
  <c r="BO139"/>
  <c r="BO134"/>
  <c r="BP134"/>
  <c r="BP125"/>
  <c r="BO125"/>
  <c r="BP122"/>
  <c r="BO122"/>
  <c r="BO117"/>
  <c r="BP117"/>
  <c r="BP113"/>
  <c r="BO113"/>
  <c r="BP110"/>
  <c r="BO110"/>
  <c r="BP107"/>
  <c r="BO107"/>
  <c r="BP104"/>
  <c r="BO104"/>
  <c r="BP101"/>
  <c r="BO101"/>
  <c r="BP98"/>
  <c r="BO98"/>
  <c r="BO93"/>
  <c r="BP93"/>
  <c r="BP85"/>
  <c r="BP75"/>
  <c r="BO75"/>
  <c r="BP71"/>
  <c r="BO71"/>
  <c r="BP68"/>
  <c r="BO68"/>
  <c r="BP65"/>
  <c r="BO65"/>
  <c r="BP62"/>
  <c r="BO62"/>
  <c r="BP59"/>
  <c r="BO59"/>
  <c r="BP56"/>
  <c r="BO56"/>
  <c r="BP52"/>
  <c r="BO52"/>
  <c r="BP49"/>
  <c r="BO49"/>
  <c r="BP43"/>
  <c r="BO43"/>
  <c r="BP39"/>
  <c r="BO39"/>
  <c r="BO36"/>
  <c r="BP36"/>
  <c r="BP33"/>
  <c r="BO29"/>
  <c r="BP29"/>
  <c r="BT309"/>
  <c r="BS309"/>
  <c r="BT307"/>
  <c r="BS307"/>
  <c r="BT306"/>
  <c r="BS306"/>
  <c r="BT305"/>
  <c r="BS305"/>
  <c r="BT304"/>
  <c r="BS304"/>
  <c r="BT303"/>
  <c r="BS303"/>
  <c r="BT302"/>
  <c r="BS302"/>
  <c r="BT301"/>
  <c r="BS301"/>
  <c r="BT300"/>
  <c r="BS300"/>
  <c r="BT299"/>
  <c r="BS299"/>
  <c r="BT298"/>
  <c r="BS298"/>
  <c r="BT297"/>
  <c r="BS297"/>
  <c r="BT296"/>
  <c r="BS296"/>
  <c r="BT295"/>
  <c r="BS295"/>
  <c r="BT294"/>
  <c r="BS294"/>
  <c r="BT293"/>
  <c r="BS293"/>
  <c r="BT292"/>
  <c r="BS292"/>
  <c r="BT291"/>
  <c r="BS291"/>
  <c r="BT289"/>
  <c r="BT290" s="1"/>
  <c r="BS289"/>
  <c r="BS290" s="1"/>
  <c r="BT287"/>
  <c r="BS287"/>
  <c r="BT285"/>
  <c r="BS285"/>
  <c r="BT284"/>
  <c r="BS284"/>
  <c r="BT283"/>
  <c r="BS283"/>
  <c r="BT282"/>
  <c r="BS282"/>
  <c r="BT281"/>
  <c r="BS281"/>
  <c r="BT280"/>
  <c r="BS280"/>
  <c r="BT279"/>
  <c r="BS279"/>
  <c r="BT278"/>
  <c r="BS278"/>
  <c r="BT277"/>
  <c r="BS277"/>
  <c r="BT276"/>
  <c r="BS276"/>
  <c r="BT275"/>
  <c r="BS275"/>
  <c r="BT274"/>
  <c r="BS274"/>
  <c r="BT273"/>
  <c r="BS273"/>
  <c r="BT272"/>
  <c r="BS272"/>
  <c r="BS286" s="1"/>
  <c r="BS288" s="1"/>
  <c r="BT270"/>
  <c r="BS270"/>
  <c r="BT268"/>
  <c r="BS268"/>
  <c r="BT267"/>
  <c r="BS267"/>
  <c r="BT266"/>
  <c r="BS266"/>
  <c r="BT264"/>
  <c r="BS264"/>
  <c r="BT263"/>
  <c r="BS263"/>
  <c r="BT261"/>
  <c r="BS261"/>
  <c r="BT259"/>
  <c r="BS259"/>
  <c r="BT258"/>
  <c r="BS258"/>
  <c r="BT257"/>
  <c r="BS257"/>
  <c r="BT255"/>
  <c r="BS255"/>
  <c r="BT254"/>
  <c r="BS254"/>
  <c r="BT252"/>
  <c r="BS252"/>
  <c r="BT251"/>
  <c r="BS251"/>
  <c r="BT250"/>
  <c r="BS250"/>
  <c r="BT249"/>
  <c r="BS249"/>
  <c r="BT247"/>
  <c r="BS247"/>
  <c r="BT246"/>
  <c r="BS246"/>
  <c r="BT245"/>
  <c r="BS245"/>
  <c r="BT244"/>
  <c r="BS244"/>
  <c r="BT243"/>
  <c r="BS243"/>
  <c r="BT242"/>
  <c r="BS242"/>
  <c r="BT241"/>
  <c r="BS241"/>
  <c r="BT239"/>
  <c r="BS239"/>
  <c r="BT237"/>
  <c r="BS237"/>
  <c r="BT236"/>
  <c r="BS236"/>
  <c r="BT234"/>
  <c r="BS234"/>
  <c r="BT233"/>
  <c r="BS233"/>
  <c r="BT232"/>
  <c r="BS232"/>
  <c r="BT231"/>
  <c r="BS231"/>
  <c r="BT230"/>
  <c r="BS230"/>
  <c r="BT229"/>
  <c r="BS229"/>
  <c r="BT227"/>
  <c r="BS227"/>
  <c r="BT226"/>
  <c r="BS226"/>
  <c r="BS224"/>
  <c r="BS225" s="1"/>
  <c r="BT222"/>
  <c r="BS222"/>
  <c r="BT220"/>
  <c r="BS220"/>
  <c r="BT219"/>
  <c r="BS219"/>
  <c r="BT218"/>
  <c r="BS218"/>
  <c r="BT216"/>
  <c r="BS216"/>
  <c r="BT215"/>
  <c r="BS215"/>
  <c r="BT214"/>
  <c r="BS214"/>
  <c r="BT212"/>
  <c r="BS212"/>
  <c r="BT211"/>
  <c r="BS211"/>
  <c r="BT210"/>
  <c r="BS210"/>
  <c r="BT208"/>
  <c r="BS208"/>
  <c r="BT207"/>
  <c r="BS207"/>
  <c r="BT206"/>
  <c r="BS206"/>
  <c r="BT204"/>
  <c r="BS204"/>
  <c r="BT203"/>
  <c r="BS203"/>
  <c r="BT202"/>
  <c r="BS202"/>
  <c r="BT201"/>
  <c r="BS201"/>
  <c r="BT200"/>
  <c r="BS200"/>
  <c r="BT199"/>
  <c r="BS199"/>
  <c r="BT198"/>
  <c r="BS198"/>
  <c r="BT197"/>
  <c r="BS197"/>
  <c r="BT196"/>
  <c r="BS196"/>
  <c r="BT194"/>
  <c r="BS194"/>
  <c r="BT193"/>
  <c r="BS193"/>
  <c r="BT192"/>
  <c r="BS192"/>
  <c r="BT190"/>
  <c r="BS190"/>
  <c r="BT189"/>
  <c r="BS189"/>
  <c r="BT188"/>
  <c r="BS188"/>
  <c r="BT186"/>
  <c r="BS186"/>
  <c r="BT183"/>
  <c r="BS183"/>
  <c r="BT182"/>
  <c r="BS182"/>
  <c r="BT181"/>
  <c r="BS181"/>
  <c r="BT180"/>
  <c r="BS180"/>
  <c r="BT178"/>
  <c r="BS178"/>
  <c r="BT177"/>
  <c r="BS177"/>
  <c r="BT176"/>
  <c r="BS176"/>
  <c r="BT175"/>
  <c r="BS175"/>
  <c r="BT173"/>
  <c r="BS173"/>
  <c r="BT172"/>
  <c r="BS172"/>
  <c r="BT171"/>
  <c r="BS171"/>
  <c r="BT170"/>
  <c r="BS170"/>
  <c r="BT169"/>
  <c r="BS169"/>
  <c r="BT167"/>
  <c r="BS167"/>
  <c r="BT166"/>
  <c r="BS166"/>
  <c r="BT165"/>
  <c r="BS165"/>
  <c r="BT163"/>
  <c r="BS163"/>
  <c r="BT162"/>
  <c r="BS162"/>
  <c r="BT161"/>
  <c r="BS161"/>
  <c r="BT159"/>
  <c r="BS159"/>
  <c r="BT158"/>
  <c r="BS158"/>
  <c r="BT157"/>
  <c r="BS157"/>
  <c r="BT155"/>
  <c r="BS155"/>
  <c r="BT154"/>
  <c r="BS154"/>
  <c r="BT153"/>
  <c r="BS153"/>
  <c r="BT152"/>
  <c r="BS152"/>
  <c r="BT151"/>
  <c r="BS151"/>
  <c r="BT150"/>
  <c r="BS150"/>
  <c r="BT149"/>
  <c r="BS149"/>
  <c r="BT148"/>
  <c r="BS148"/>
  <c r="BT147"/>
  <c r="BS147"/>
  <c r="BT145"/>
  <c r="BS145"/>
  <c r="BT144"/>
  <c r="BS144"/>
  <c r="BT143"/>
  <c r="BS143"/>
  <c r="BT141"/>
  <c r="BS141"/>
  <c r="BT140"/>
  <c r="BS140"/>
  <c r="BT138"/>
  <c r="BS138"/>
  <c r="BT137"/>
  <c r="BS137"/>
  <c r="BT136"/>
  <c r="BS136"/>
  <c r="BT133"/>
  <c r="BS133"/>
  <c r="BT132"/>
  <c r="BS132"/>
  <c r="BT131"/>
  <c r="BS131"/>
  <c r="BT130"/>
  <c r="BS130"/>
  <c r="BT129"/>
  <c r="BS129"/>
  <c r="BT128"/>
  <c r="BS128"/>
  <c r="BT127"/>
  <c r="BS127"/>
  <c r="BT126"/>
  <c r="BS126"/>
  <c r="BT124"/>
  <c r="BS124"/>
  <c r="BT123"/>
  <c r="BS123"/>
  <c r="BT121"/>
  <c r="BS121"/>
  <c r="BT120"/>
  <c r="BS120"/>
  <c r="BT119"/>
  <c r="BS119"/>
  <c r="BT118"/>
  <c r="BS118"/>
  <c r="BT116"/>
  <c r="BS116"/>
  <c r="BT115"/>
  <c r="BS115"/>
  <c r="BT114"/>
  <c r="BS114"/>
  <c r="BT112"/>
  <c r="BS112"/>
  <c r="BT111"/>
  <c r="BS111"/>
  <c r="BT109"/>
  <c r="BS109"/>
  <c r="BT108"/>
  <c r="BS108"/>
  <c r="BT106"/>
  <c r="BS106"/>
  <c r="BT105"/>
  <c r="BS105"/>
  <c r="BT103"/>
  <c r="BS103"/>
  <c r="BT102"/>
  <c r="BS102"/>
  <c r="BT100"/>
  <c r="BS100"/>
  <c r="BT99"/>
  <c r="BS99"/>
  <c r="BT97"/>
  <c r="BS97"/>
  <c r="BT96"/>
  <c r="BS96"/>
  <c r="BT95"/>
  <c r="BS95"/>
  <c r="BT94"/>
  <c r="BS94"/>
  <c r="BT92"/>
  <c r="BS92"/>
  <c r="BT91"/>
  <c r="BS91"/>
  <c r="BT90"/>
  <c r="BS90"/>
  <c r="BT87"/>
  <c r="BS87"/>
  <c r="BT86"/>
  <c r="BS86"/>
  <c r="BT84"/>
  <c r="BT83"/>
  <c r="BS83"/>
  <c r="BT81"/>
  <c r="BS81"/>
  <c r="BT80"/>
  <c r="BS80"/>
  <c r="BT77"/>
  <c r="BS77"/>
  <c r="BT76"/>
  <c r="BS76"/>
  <c r="BT74"/>
  <c r="BS74"/>
  <c r="BT73"/>
  <c r="BS73"/>
  <c r="BT72"/>
  <c r="BS72"/>
  <c r="BT70"/>
  <c r="BS70"/>
  <c r="BT69"/>
  <c r="BS69"/>
  <c r="BT67"/>
  <c r="BS67"/>
  <c r="BT66"/>
  <c r="BS66"/>
  <c r="BT64"/>
  <c r="BS64"/>
  <c r="BT63"/>
  <c r="BS63"/>
  <c r="BT61"/>
  <c r="BS61"/>
  <c r="BT60"/>
  <c r="BS60"/>
  <c r="BT58"/>
  <c r="BS58"/>
  <c r="BT57"/>
  <c r="BS57"/>
  <c r="BT55"/>
  <c r="BS55"/>
  <c r="BT54"/>
  <c r="BS54"/>
  <c r="BT53"/>
  <c r="BS53"/>
  <c r="BT51"/>
  <c r="BS51"/>
  <c r="BT50"/>
  <c r="BS50"/>
  <c r="BT48"/>
  <c r="BS48"/>
  <c r="BT47"/>
  <c r="BS47"/>
  <c r="BT42"/>
  <c r="BS42"/>
  <c r="BT41"/>
  <c r="BS41"/>
  <c r="BT40"/>
  <c r="BS40"/>
  <c r="BT38"/>
  <c r="BS38"/>
  <c r="BT37"/>
  <c r="BS37"/>
  <c r="BT35"/>
  <c r="BS35"/>
  <c r="BT34"/>
  <c r="BS34"/>
  <c r="BT32"/>
  <c r="BT31"/>
  <c r="BT30"/>
  <c r="BS30"/>
  <c r="BT28"/>
  <c r="BS28"/>
  <c r="BT27"/>
  <c r="BS27"/>
  <c r="BT25"/>
  <c r="BS25"/>
  <c r="BT23"/>
  <c r="BS23"/>
  <c r="BT22"/>
  <c r="BS22"/>
  <c r="BT21"/>
  <c r="BS21"/>
  <c r="BT20"/>
  <c r="BS20"/>
  <c r="BT19"/>
  <c r="BS19"/>
  <c r="BT18"/>
  <c r="BS18"/>
  <c r="BT17"/>
  <c r="BS17"/>
  <c r="BT15"/>
  <c r="BS15"/>
  <c r="BT14"/>
  <c r="BS14"/>
  <c r="BT12"/>
  <c r="BS12"/>
  <c r="BT11"/>
  <c r="BS11"/>
  <c r="BT9"/>
  <c r="BT8"/>
  <c r="BS8"/>
  <c r="BT6"/>
  <c r="BS6"/>
  <c r="BT5"/>
  <c r="BS5"/>
  <c r="BO32"/>
  <c r="BS32" s="1"/>
  <c r="BO31"/>
  <c r="BT235" l="1"/>
  <c r="BS235"/>
  <c r="BO33"/>
  <c r="BT286"/>
  <c r="BT288" s="1"/>
  <c r="BS43"/>
  <c r="BT7"/>
  <c r="BT43"/>
  <c r="BT269"/>
  <c r="BT271" s="1"/>
  <c r="BS269"/>
  <c r="BS271" s="1"/>
  <c r="BO262"/>
  <c r="BS7"/>
  <c r="BS265"/>
  <c r="BS31"/>
  <c r="BS33" s="1"/>
  <c r="BP262"/>
  <c r="BP223"/>
  <c r="BP240"/>
  <c r="BS13"/>
  <c r="BS16"/>
  <c r="BS24"/>
  <c r="BT10"/>
  <c r="BT13"/>
  <c r="BT16"/>
  <c r="BT24"/>
  <c r="BT29"/>
  <c r="BT33"/>
  <c r="BT36"/>
  <c r="BT39"/>
  <c r="BT49"/>
  <c r="BT52"/>
  <c r="BT56"/>
  <c r="BT59"/>
  <c r="BT62"/>
  <c r="BT65"/>
  <c r="BT68"/>
  <c r="BT71"/>
  <c r="BT75"/>
  <c r="BT82"/>
  <c r="BT85"/>
  <c r="BT93"/>
  <c r="BT98"/>
  <c r="BT101"/>
  <c r="BT104"/>
  <c r="BT107"/>
  <c r="BT110"/>
  <c r="BT113"/>
  <c r="BT117"/>
  <c r="BT122"/>
  <c r="BT125"/>
  <c r="BT134"/>
  <c r="BT139"/>
  <c r="BT142"/>
  <c r="BT146"/>
  <c r="BT156"/>
  <c r="BT164"/>
  <c r="BT168"/>
  <c r="BT174"/>
  <c r="BT179"/>
  <c r="BT184"/>
  <c r="BT187"/>
  <c r="BT191"/>
  <c r="BT195"/>
  <c r="BT205"/>
  <c r="BT209"/>
  <c r="BT213"/>
  <c r="BT217"/>
  <c r="BT221"/>
  <c r="BS228"/>
  <c r="BS238"/>
  <c r="BS248"/>
  <c r="BS253"/>
  <c r="BS256"/>
  <c r="BS260"/>
  <c r="BS308"/>
  <c r="BP135"/>
  <c r="BO185"/>
  <c r="BO223"/>
  <c r="BO240"/>
  <c r="BT308"/>
  <c r="BS29"/>
  <c r="BS36"/>
  <c r="BS39"/>
  <c r="BS49"/>
  <c r="BS52"/>
  <c r="BS56"/>
  <c r="BS59"/>
  <c r="BS62"/>
  <c r="BS65"/>
  <c r="BS68"/>
  <c r="BS71"/>
  <c r="BS75"/>
  <c r="BS82"/>
  <c r="BS93"/>
  <c r="BS98"/>
  <c r="BS101"/>
  <c r="BS104"/>
  <c r="BS107"/>
  <c r="BS110"/>
  <c r="BS113"/>
  <c r="BS117"/>
  <c r="BS122"/>
  <c r="BS125"/>
  <c r="BS134"/>
  <c r="BS139"/>
  <c r="BS142"/>
  <c r="BS146"/>
  <c r="BS156"/>
  <c r="BS164"/>
  <c r="BS168"/>
  <c r="BS174"/>
  <c r="BS179"/>
  <c r="BS184"/>
  <c r="BS187"/>
  <c r="BS195"/>
  <c r="BS205"/>
  <c r="BS209"/>
  <c r="BS213"/>
  <c r="BS217"/>
  <c r="BS221"/>
  <c r="BT228"/>
  <c r="BT238"/>
  <c r="BT248"/>
  <c r="BT253"/>
  <c r="BT256"/>
  <c r="BT260"/>
  <c r="BO135"/>
  <c r="BP185"/>
  <c r="BT265"/>
  <c r="BS191"/>
  <c r="BS160"/>
  <c r="BT160"/>
  <c r="BO84"/>
  <c r="BP16"/>
  <c r="BO16"/>
  <c r="BP10"/>
  <c r="BO9"/>
  <c r="BP7"/>
  <c r="BO7"/>
  <c r="BO10" l="1"/>
  <c r="BS9"/>
  <c r="BS10" s="1"/>
  <c r="BO85"/>
  <c r="BS84"/>
  <c r="BS262"/>
  <c r="BT262"/>
  <c r="BT223"/>
  <c r="BS240"/>
  <c r="BS223"/>
  <c r="BS185"/>
  <c r="BS135"/>
  <c r="BT240"/>
  <c r="BT185"/>
  <c r="BT135"/>
  <c r="BO26"/>
  <c r="BS26"/>
  <c r="BP26"/>
  <c r="BT26"/>
  <c r="BJ113"/>
  <c r="BK113"/>
  <c r="AK308"/>
  <c r="AL308"/>
  <c r="AO308"/>
  <c r="AP308"/>
  <c r="AS308"/>
  <c r="AT308"/>
  <c r="AW308"/>
  <c r="AX308"/>
  <c r="BB308"/>
  <c r="BC308"/>
  <c r="BH308"/>
  <c r="BI308"/>
  <c r="BJ308"/>
  <c r="BK308"/>
  <c r="AX265"/>
  <c r="BB265"/>
  <c r="BC265"/>
  <c r="BH265"/>
  <c r="BI265"/>
  <c r="BJ265"/>
  <c r="BK265"/>
  <c r="AS265"/>
  <c r="AT265"/>
  <c r="AW265"/>
  <c r="AK265"/>
  <c r="AL265"/>
  <c r="AO265"/>
  <c r="AP265"/>
  <c r="BH82"/>
  <c r="BI82"/>
  <c r="BJ82"/>
  <c r="BK82"/>
  <c r="BJ228"/>
  <c r="BK228"/>
  <c r="BJ225"/>
  <c r="BK225"/>
  <c r="BJ221"/>
  <c r="BK221"/>
  <c r="BJ217"/>
  <c r="BK217"/>
  <c r="BJ213"/>
  <c r="BK213"/>
  <c r="BJ209"/>
  <c r="BK209"/>
  <c r="BJ205"/>
  <c r="BK205"/>
  <c r="BJ195"/>
  <c r="BK195"/>
  <c r="BJ191"/>
  <c r="BK191"/>
  <c r="BJ187"/>
  <c r="BK187"/>
  <c r="BI184"/>
  <c r="BJ184"/>
  <c r="BK184"/>
  <c r="BI179"/>
  <c r="BJ179"/>
  <c r="BK179"/>
  <c r="BI174"/>
  <c r="BJ174"/>
  <c r="BK174"/>
  <c r="BI168"/>
  <c r="BJ168"/>
  <c r="BK168"/>
  <c r="BI164"/>
  <c r="BJ164"/>
  <c r="BK164"/>
  <c r="BI160"/>
  <c r="BJ160"/>
  <c r="BK160"/>
  <c r="BI156"/>
  <c r="BJ156"/>
  <c r="BK156"/>
  <c r="BI146"/>
  <c r="BJ146"/>
  <c r="BK146"/>
  <c r="BI142"/>
  <c r="BJ142"/>
  <c r="BK142"/>
  <c r="BI139"/>
  <c r="BJ139"/>
  <c r="BK139"/>
  <c r="BI134"/>
  <c r="BJ134"/>
  <c r="BK134"/>
  <c r="BI125"/>
  <c r="BJ125"/>
  <c r="BK125"/>
  <c r="BJ122"/>
  <c r="BK122"/>
  <c r="BJ117"/>
  <c r="BK117"/>
  <c r="BJ110"/>
  <c r="BK110"/>
  <c r="BJ107"/>
  <c r="BK107"/>
  <c r="BJ104"/>
  <c r="BK104"/>
  <c r="BJ101"/>
  <c r="BK101"/>
  <c r="BJ98"/>
  <c r="BK98"/>
  <c r="BJ93"/>
  <c r="BK93"/>
  <c r="BJ85"/>
  <c r="BK85"/>
  <c r="BJ79"/>
  <c r="BK79"/>
  <c r="BJ75"/>
  <c r="BK75"/>
  <c r="BJ71"/>
  <c r="BK71"/>
  <c r="BJ68"/>
  <c r="BK68"/>
  <c r="BJ65"/>
  <c r="BK65"/>
  <c r="BJ62"/>
  <c r="BK62"/>
  <c r="BJ59"/>
  <c r="BK59"/>
  <c r="BJ56"/>
  <c r="BK56"/>
  <c r="BJ52"/>
  <c r="BK52"/>
  <c r="BJ49"/>
  <c r="BK49"/>
  <c r="BJ43"/>
  <c r="BK43"/>
  <c r="BJ39"/>
  <c r="BK39"/>
  <c r="BJ36"/>
  <c r="BK36"/>
  <c r="BJ33"/>
  <c r="BK33"/>
  <c r="BJ29"/>
  <c r="BK29"/>
  <c r="BJ24"/>
  <c r="BJ26" s="1"/>
  <c r="BK24"/>
  <c r="BK26" s="1"/>
  <c r="BJ16"/>
  <c r="BK16"/>
  <c r="BJ13"/>
  <c r="BK13"/>
  <c r="BJ10"/>
  <c r="BK10"/>
  <c r="BJ7"/>
  <c r="BK7"/>
  <c r="BJ238"/>
  <c r="BK238"/>
  <c r="BJ248"/>
  <c r="BK248"/>
  <c r="BJ253"/>
  <c r="BK253"/>
  <c r="BJ256"/>
  <c r="BK256"/>
  <c r="BJ260"/>
  <c r="BK260"/>
  <c r="BJ269"/>
  <c r="BJ271" s="1"/>
  <c r="BK269"/>
  <c r="BK271" s="1"/>
  <c r="BJ286"/>
  <c r="BJ288" s="1"/>
  <c r="BK286"/>
  <c r="BK288" s="1"/>
  <c r="BJ290"/>
  <c r="BK290"/>
  <c r="BS85" l="1"/>
  <c r="BK240"/>
  <c r="BK262"/>
  <c r="BJ240"/>
  <c r="BJ262"/>
  <c r="BK223"/>
  <c r="BK185"/>
  <c r="BI185"/>
  <c r="BJ185"/>
  <c r="BJ223"/>
  <c r="BJ135"/>
  <c r="BJ89"/>
  <c r="BK89"/>
  <c r="BK135"/>
  <c r="BH139"/>
  <c r="BH142"/>
  <c r="BH146"/>
  <c r="BH290"/>
  <c r="BI290"/>
  <c r="BH286"/>
  <c r="BH288" s="1"/>
  <c r="BI286"/>
  <c r="BI288" s="1"/>
  <c r="BH269"/>
  <c r="BH271" s="1"/>
  <c r="BI269"/>
  <c r="BI271" s="1"/>
  <c r="BH260"/>
  <c r="BI260"/>
  <c r="BH256"/>
  <c r="BI256"/>
  <c r="BH253"/>
  <c r="BI253"/>
  <c r="BH248"/>
  <c r="BI248"/>
  <c r="BH238"/>
  <c r="BI238"/>
  <c r="BH228"/>
  <c r="BI228"/>
  <c r="BH225"/>
  <c r="BI225"/>
  <c r="BH221"/>
  <c r="BI221"/>
  <c r="BH217"/>
  <c r="BI217"/>
  <c r="BH213"/>
  <c r="BI213"/>
  <c r="BH209"/>
  <c r="BI209"/>
  <c r="BH205"/>
  <c r="BI205"/>
  <c r="BH195"/>
  <c r="BI195"/>
  <c r="BH191"/>
  <c r="BI191"/>
  <c r="BH187"/>
  <c r="BI187"/>
  <c r="BH184"/>
  <c r="BH179"/>
  <c r="BH174"/>
  <c r="BH168"/>
  <c r="BH164"/>
  <c r="BH160"/>
  <c r="BH156"/>
  <c r="BH134"/>
  <c r="BH125"/>
  <c r="BH122"/>
  <c r="BI122"/>
  <c r="BH117"/>
  <c r="BI117"/>
  <c r="BH113"/>
  <c r="BI113"/>
  <c r="BH110"/>
  <c r="BI110"/>
  <c r="BH107"/>
  <c r="BI107"/>
  <c r="BH104"/>
  <c r="BI104"/>
  <c r="BH101"/>
  <c r="BI101"/>
  <c r="BH98"/>
  <c r="BI98"/>
  <c r="BH93"/>
  <c r="BI93"/>
  <c r="BH85"/>
  <c r="BI85"/>
  <c r="BH79"/>
  <c r="BI79"/>
  <c r="BH65"/>
  <c r="BI65"/>
  <c r="BH68"/>
  <c r="BI68"/>
  <c r="BH71"/>
  <c r="BI71"/>
  <c r="BH75"/>
  <c r="BI75"/>
  <c r="BH62"/>
  <c r="BI62"/>
  <c r="BH59"/>
  <c r="BI59"/>
  <c r="BH56"/>
  <c r="BI56"/>
  <c r="BH52"/>
  <c r="BI52"/>
  <c r="BH49"/>
  <c r="BI49"/>
  <c r="BH43"/>
  <c r="BI43"/>
  <c r="BH39"/>
  <c r="BI39"/>
  <c r="BH36"/>
  <c r="BI36"/>
  <c r="BH33"/>
  <c r="BI33"/>
  <c r="BH29"/>
  <c r="BI29"/>
  <c r="BH24"/>
  <c r="BH26" s="1"/>
  <c r="BI24"/>
  <c r="BI26" s="1"/>
  <c r="BH16"/>
  <c r="BI16"/>
  <c r="BH13"/>
  <c r="BI13"/>
  <c r="BH10"/>
  <c r="BI10"/>
  <c r="BH7"/>
  <c r="BI7"/>
  <c r="BJ310" l="1"/>
  <c r="BK310"/>
  <c r="BI135"/>
  <c r="BH89"/>
  <c r="BH135"/>
  <c r="BI223"/>
  <c r="BI240"/>
  <c r="BI89"/>
  <c r="BH185"/>
  <c r="BH223"/>
  <c r="BH240"/>
  <c r="BI262"/>
  <c r="BH262"/>
  <c r="BI310" l="1"/>
  <c r="BH310"/>
  <c r="AK85" l="1"/>
  <c r="AL85"/>
  <c r="AO85"/>
  <c r="AP85"/>
  <c r="AS85"/>
  <c r="AT85"/>
  <c r="AW85"/>
  <c r="AX85"/>
  <c r="BB85"/>
  <c r="BC85"/>
  <c r="AK75"/>
  <c r="AL75"/>
  <c r="AO75"/>
  <c r="AP75"/>
  <c r="AS75"/>
  <c r="AT75"/>
  <c r="AW75"/>
  <c r="AX75"/>
  <c r="BB75"/>
  <c r="BC75"/>
  <c r="AL62"/>
  <c r="AO62"/>
  <c r="AP62"/>
  <c r="AS62"/>
  <c r="AT62"/>
  <c r="AW62"/>
  <c r="AX62"/>
  <c r="BB62"/>
  <c r="BC62"/>
  <c r="AK33"/>
  <c r="AL33"/>
  <c r="AO33"/>
  <c r="AP33"/>
  <c r="AS33"/>
  <c r="AT33"/>
  <c r="AV33"/>
  <c r="AW33"/>
  <c r="AX33"/>
  <c r="BC33"/>
  <c r="AY55"/>
  <c r="BL55" s="1"/>
  <c r="AY84"/>
  <c r="BL84" s="1"/>
  <c r="AY88"/>
  <c r="BQ55" l="1"/>
  <c r="BQ84"/>
  <c r="BL88"/>
  <c r="BU55" l="1"/>
  <c r="BU84"/>
  <c r="BB47"/>
  <c r="BB32"/>
  <c r="BB33" s="1"/>
  <c r="BB217" l="1"/>
  <c r="BC217"/>
  <c r="BB290"/>
  <c r="BC290"/>
  <c r="BB286"/>
  <c r="BB288" s="1"/>
  <c r="BC286"/>
  <c r="BC288" s="1"/>
  <c r="BB269"/>
  <c r="BB271" s="1"/>
  <c r="BC269"/>
  <c r="BC271" s="1"/>
  <c r="BB260"/>
  <c r="BC260"/>
  <c r="BB256"/>
  <c r="BC256"/>
  <c r="BB253"/>
  <c r="BC253"/>
  <c r="BB248"/>
  <c r="BC248"/>
  <c r="BB238"/>
  <c r="BC238"/>
  <c r="BB228"/>
  <c r="BC228"/>
  <c r="BB225"/>
  <c r="BC225"/>
  <c r="BB221"/>
  <c r="BC221"/>
  <c r="BB213"/>
  <c r="BC213"/>
  <c r="BB209"/>
  <c r="BC209"/>
  <c r="BB205"/>
  <c r="BC205"/>
  <c r="BB195"/>
  <c r="BC195"/>
  <c r="BB191"/>
  <c r="BC191"/>
  <c r="BB187"/>
  <c r="BC187"/>
  <c r="BB184"/>
  <c r="BC184"/>
  <c r="BB179"/>
  <c r="BC179"/>
  <c r="BB174"/>
  <c r="BC174"/>
  <c r="BB168"/>
  <c r="BC168"/>
  <c r="BB164"/>
  <c r="BC164"/>
  <c r="BB160"/>
  <c r="BC160"/>
  <c r="BB156"/>
  <c r="BC156"/>
  <c r="BB146"/>
  <c r="BC146"/>
  <c r="BB142"/>
  <c r="BC142"/>
  <c r="BB139"/>
  <c r="BC139"/>
  <c r="BB134"/>
  <c r="BC134"/>
  <c r="BB125"/>
  <c r="BC125"/>
  <c r="BB122"/>
  <c r="BC122"/>
  <c r="BB117"/>
  <c r="BC117"/>
  <c r="BB113"/>
  <c r="BC113"/>
  <c r="BB110"/>
  <c r="BC110"/>
  <c r="BB107"/>
  <c r="BC107"/>
  <c r="BB104"/>
  <c r="BC104"/>
  <c r="BB101"/>
  <c r="BC101"/>
  <c r="BB98"/>
  <c r="BC98"/>
  <c r="BB93"/>
  <c r="BC93"/>
  <c r="BB82"/>
  <c r="BC82"/>
  <c r="BB79"/>
  <c r="BC79"/>
  <c r="BB71"/>
  <c r="BC71"/>
  <c r="BB68"/>
  <c r="BC68"/>
  <c r="BB65"/>
  <c r="BC65"/>
  <c r="BB59"/>
  <c r="BC59"/>
  <c r="BB56"/>
  <c r="BC56"/>
  <c r="BB52"/>
  <c r="BC52"/>
  <c r="BB49"/>
  <c r="BC49"/>
  <c r="BB43"/>
  <c r="BC43"/>
  <c r="BB39"/>
  <c r="BC39"/>
  <c r="BB36"/>
  <c r="BC36"/>
  <c r="BB29"/>
  <c r="BC29"/>
  <c r="BC135" l="1"/>
  <c r="BC185"/>
  <c r="BC223"/>
  <c r="BC240"/>
  <c r="BB135"/>
  <c r="BB185"/>
  <c r="BB223"/>
  <c r="BB240"/>
  <c r="BC262"/>
  <c r="BB262"/>
  <c r="BB24"/>
  <c r="BB26" s="1"/>
  <c r="BC24"/>
  <c r="BC26" s="1"/>
  <c r="BB16"/>
  <c r="BC16"/>
  <c r="BB13"/>
  <c r="BC13"/>
  <c r="BB10"/>
  <c r="BC10"/>
  <c r="BB7"/>
  <c r="BC7"/>
  <c r="BG6"/>
  <c r="BG8"/>
  <c r="BG9"/>
  <c r="BG11"/>
  <c r="BG12"/>
  <c r="BG14"/>
  <c r="BG15"/>
  <c r="BG17"/>
  <c r="BG18"/>
  <c r="BG19"/>
  <c r="BG20"/>
  <c r="BG21"/>
  <c r="BG22"/>
  <c r="BG23"/>
  <c r="BG25"/>
  <c r="BG27"/>
  <c r="BG28"/>
  <c r="BG30"/>
  <c r="BG31"/>
  <c r="BG32"/>
  <c r="BG34"/>
  <c r="BG35"/>
  <c r="BG37"/>
  <c r="BG38"/>
  <c r="BG40"/>
  <c r="BG41"/>
  <c r="BG42"/>
  <c r="BG44"/>
  <c r="BG45"/>
  <c r="BG46"/>
  <c r="BG47"/>
  <c r="BG48"/>
  <c r="BG50"/>
  <c r="BG51"/>
  <c r="BG53"/>
  <c r="BG54"/>
  <c r="BG55"/>
  <c r="BG57"/>
  <c r="BG58"/>
  <c r="BG60"/>
  <c r="BG61"/>
  <c r="BG63"/>
  <c r="BG64"/>
  <c r="BG66"/>
  <c r="BG67"/>
  <c r="BG69"/>
  <c r="BG70"/>
  <c r="BG72"/>
  <c r="BG73"/>
  <c r="BG74"/>
  <c r="BG76"/>
  <c r="BG77"/>
  <c r="BG78"/>
  <c r="BG80"/>
  <c r="BG81"/>
  <c r="BG83"/>
  <c r="BG84"/>
  <c r="BG86"/>
  <c r="BG87"/>
  <c r="BG88"/>
  <c r="BG90"/>
  <c r="BG91"/>
  <c r="BG92"/>
  <c r="BG94"/>
  <c r="BG95"/>
  <c r="BG96"/>
  <c r="BG97"/>
  <c r="BG99"/>
  <c r="BG100"/>
  <c r="BG102"/>
  <c r="BG103"/>
  <c r="BG105"/>
  <c r="BG106"/>
  <c r="BG108"/>
  <c r="BG109"/>
  <c r="BG111"/>
  <c r="BG112"/>
  <c r="BG114"/>
  <c r="BG115"/>
  <c r="BG116"/>
  <c r="BG118"/>
  <c r="BG119"/>
  <c r="BG120"/>
  <c r="BG121"/>
  <c r="BG123"/>
  <c r="BG124"/>
  <c r="BG126"/>
  <c r="BG127"/>
  <c r="BG128"/>
  <c r="BG129"/>
  <c r="BG130"/>
  <c r="BG131"/>
  <c r="BG132"/>
  <c r="BG133"/>
  <c r="BG136"/>
  <c r="BG137"/>
  <c r="BG138"/>
  <c r="BG140"/>
  <c r="BG141"/>
  <c r="BG143"/>
  <c r="BG144"/>
  <c r="BG145"/>
  <c r="BG147"/>
  <c r="BG148"/>
  <c r="BG149"/>
  <c r="BG150"/>
  <c r="BG151"/>
  <c r="BG152"/>
  <c r="BG153"/>
  <c r="BG154"/>
  <c r="BG155"/>
  <c r="BG157"/>
  <c r="BG158"/>
  <c r="BG159"/>
  <c r="BG161"/>
  <c r="BG162"/>
  <c r="BG163"/>
  <c r="BG165"/>
  <c r="BG166"/>
  <c r="BG167"/>
  <c r="BG169"/>
  <c r="BG170"/>
  <c r="BG171"/>
  <c r="BG172"/>
  <c r="BG173"/>
  <c r="BG175"/>
  <c r="BG176"/>
  <c r="BG177"/>
  <c r="BG178"/>
  <c r="BG180"/>
  <c r="BG181"/>
  <c r="BG182"/>
  <c r="BG183"/>
  <c r="BG186"/>
  <c r="BG188"/>
  <c r="BG189"/>
  <c r="BG190"/>
  <c r="BG192"/>
  <c r="BG193"/>
  <c r="BG194"/>
  <c r="BG196"/>
  <c r="BG197"/>
  <c r="BG198"/>
  <c r="BG199"/>
  <c r="BG200"/>
  <c r="BG201"/>
  <c r="BG202"/>
  <c r="BG203"/>
  <c r="BG204"/>
  <c r="BG206"/>
  <c r="BG207"/>
  <c r="BG208"/>
  <c r="BG210"/>
  <c r="BG211"/>
  <c r="BG212"/>
  <c r="BG214"/>
  <c r="BG215"/>
  <c r="BG216"/>
  <c r="BG218"/>
  <c r="BG219"/>
  <c r="BG220"/>
  <c r="BG222"/>
  <c r="BG224"/>
  <c r="BG226"/>
  <c r="BG227"/>
  <c r="BG229"/>
  <c r="BG230"/>
  <c r="BG231"/>
  <c r="BG232"/>
  <c r="BG233"/>
  <c r="BG234"/>
  <c r="BG236"/>
  <c r="BG237"/>
  <c r="BG239"/>
  <c r="BG241"/>
  <c r="BG242"/>
  <c r="BG243"/>
  <c r="BG244"/>
  <c r="BG245"/>
  <c r="BG246"/>
  <c r="BG247"/>
  <c r="BG249"/>
  <c r="BG250"/>
  <c r="BG251"/>
  <c r="BG252"/>
  <c r="BG254"/>
  <c r="BG255"/>
  <c r="BG257"/>
  <c r="BG258"/>
  <c r="BG259"/>
  <c r="BG261"/>
  <c r="BG263"/>
  <c r="BG264"/>
  <c r="BG266"/>
  <c r="BG267"/>
  <c r="BG268"/>
  <c r="BG270"/>
  <c r="BG272"/>
  <c r="BG273"/>
  <c r="BG274"/>
  <c r="BG275"/>
  <c r="BG276"/>
  <c r="BG277"/>
  <c r="BG278"/>
  <c r="BG279"/>
  <c r="BG280"/>
  <c r="BG281"/>
  <c r="BG282"/>
  <c r="BG283"/>
  <c r="BG284"/>
  <c r="BG285"/>
  <c r="BG287"/>
  <c r="BG289"/>
  <c r="BG291"/>
  <c r="BG292"/>
  <c r="BG293"/>
  <c r="BG294"/>
  <c r="BG295"/>
  <c r="BG296"/>
  <c r="BG297"/>
  <c r="BG298"/>
  <c r="BG299"/>
  <c r="BG300"/>
  <c r="BG301"/>
  <c r="BG302"/>
  <c r="BG303"/>
  <c r="BG304"/>
  <c r="BG305"/>
  <c r="BG306"/>
  <c r="BG307"/>
  <c r="BG309"/>
  <c r="BG5"/>
  <c r="BF6"/>
  <c r="BF8"/>
  <c r="BF9"/>
  <c r="BF11"/>
  <c r="BF12"/>
  <c r="BF14"/>
  <c r="BF15"/>
  <c r="BF17"/>
  <c r="BF18"/>
  <c r="BF19"/>
  <c r="BF20"/>
  <c r="BF21"/>
  <c r="BF22"/>
  <c r="BF23"/>
  <c r="BF25"/>
  <c r="BF27"/>
  <c r="BF28"/>
  <c r="BF30"/>
  <c r="BF31"/>
  <c r="BF32"/>
  <c r="BF34"/>
  <c r="BF35"/>
  <c r="BF37"/>
  <c r="BF38"/>
  <c r="BF40"/>
  <c r="BF41"/>
  <c r="BF42"/>
  <c r="BF44"/>
  <c r="BF45"/>
  <c r="BF46"/>
  <c r="BF47"/>
  <c r="BF48"/>
  <c r="BF50"/>
  <c r="BF51"/>
  <c r="BF53"/>
  <c r="BF54"/>
  <c r="BF55"/>
  <c r="BF57"/>
  <c r="BF58"/>
  <c r="BF60"/>
  <c r="BF61"/>
  <c r="BF63"/>
  <c r="BF64"/>
  <c r="BF66"/>
  <c r="BF67"/>
  <c r="BF69"/>
  <c r="BF70"/>
  <c r="BF72"/>
  <c r="BF73"/>
  <c r="BF74"/>
  <c r="BF76"/>
  <c r="BF77"/>
  <c r="BF78"/>
  <c r="BF80"/>
  <c r="BF81"/>
  <c r="BF83"/>
  <c r="BF84"/>
  <c r="BF86"/>
  <c r="BF87"/>
  <c r="BF88"/>
  <c r="BF90"/>
  <c r="BF91"/>
  <c r="BF92"/>
  <c r="BF94"/>
  <c r="BF95"/>
  <c r="BF96"/>
  <c r="BF97"/>
  <c r="BF99"/>
  <c r="BF100"/>
  <c r="BF102"/>
  <c r="BF103"/>
  <c r="BF105"/>
  <c r="BF106"/>
  <c r="BF108"/>
  <c r="BF109"/>
  <c r="BF111"/>
  <c r="BF112"/>
  <c r="BF114"/>
  <c r="BF115"/>
  <c r="BF116"/>
  <c r="BF118"/>
  <c r="BF119"/>
  <c r="BF120"/>
  <c r="BF121"/>
  <c r="BF123"/>
  <c r="BF124"/>
  <c r="BF126"/>
  <c r="BF127"/>
  <c r="BF128"/>
  <c r="BF129"/>
  <c r="BF130"/>
  <c r="BF131"/>
  <c r="BF132"/>
  <c r="BF133"/>
  <c r="BF136"/>
  <c r="BF137"/>
  <c r="BF138"/>
  <c r="BF140"/>
  <c r="BF141"/>
  <c r="BF143"/>
  <c r="BF144"/>
  <c r="BF145"/>
  <c r="BF147"/>
  <c r="BF148"/>
  <c r="BF149"/>
  <c r="BF150"/>
  <c r="BF151"/>
  <c r="BF152"/>
  <c r="BF153"/>
  <c r="BF154"/>
  <c r="BF155"/>
  <c r="BF157"/>
  <c r="BF158"/>
  <c r="BF159"/>
  <c r="BF161"/>
  <c r="BF162"/>
  <c r="BF163"/>
  <c r="BF165"/>
  <c r="BF166"/>
  <c r="BF167"/>
  <c r="BF169"/>
  <c r="BF170"/>
  <c r="BF171"/>
  <c r="BF172"/>
  <c r="BF173"/>
  <c r="BF175"/>
  <c r="BF176"/>
  <c r="BF177"/>
  <c r="BF178"/>
  <c r="BF180"/>
  <c r="BF181"/>
  <c r="BF182"/>
  <c r="BF183"/>
  <c r="BF186"/>
  <c r="BF188"/>
  <c r="BF189"/>
  <c r="BF190"/>
  <c r="BF192"/>
  <c r="BF193"/>
  <c r="BF194"/>
  <c r="BF196"/>
  <c r="BF197"/>
  <c r="BF198"/>
  <c r="BF199"/>
  <c r="BF200"/>
  <c r="BF201"/>
  <c r="BF202"/>
  <c r="BF203"/>
  <c r="BF204"/>
  <c r="BF206"/>
  <c r="BF207"/>
  <c r="BF208"/>
  <c r="BF210"/>
  <c r="BF211"/>
  <c r="BF212"/>
  <c r="BF214"/>
  <c r="BF215"/>
  <c r="BF216"/>
  <c r="BF218"/>
  <c r="BF219"/>
  <c r="BF220"/>
  <c r="BF222"/>
  <c r="BF224"/>
  <c r="BF226"/>
  <c r="BF227"/>
  <c r="BF229"/>
  <c r="BF230"/>
  <c r="BF231"/>
  <c r="BF232"/>
  <c r="BF233"/>
  <c r="BF234"/>
  <c r="BF236"/>
  <c r="BF237"/>
  <c r="BF239"/>
  <c r="BF241"/>
  <c r="BF242"/>
  <c r="BF243"/>
  <c r="BF244"/>
  <c r="BF245"/>
  <c r="BF246"/>
  <c r="BF247"/>
  <c r="BF249"/>
  <c r="BF250"/>
  <c r="BF251"/>
  <c r="BF252"/>
  <c r="BF254"/>
  <c r="BF255"/>
  <c r="BF257"/>
  <c r="BF258"/>
  <c r="BF259"/>
  <c r="BF261"/>
  <c r="BF263"/>
  <c r="BF264"/>
  <c r="BF266"/>
  <c r="BF267"/>
  <c r="BF268"/>
  <c r="BF270"/>
  <c r="BF272"/>
  <c r="BF273"/>
  <c r="BF274"/>
  <c r="BF275"/>
  <c r="BF276"/>
  <c r="BF277"/>
  <c r="BF278"/>
  <c r="BF279"/>
  <c r="BF280"/>
  <c r="BF281"/>
  <c r="BF282"/>
  <c r="BF283"/>
  <c r="BF284"/>
  <c r="BF285"/>
  <c r="BF287"/>
  <c r="BF289"/>
  <c r="BF290" s="1"/>
  <c r="BF291"/>
  <c r="BF292"/>
  <c r="BF293"/>
  <c r="BF294"/>
  <c r="BF295"/>
  <c r="BF296"/>
  <c r="BF297"/>
  <c r="BF298"/>
  <c r="BF299"/>
  <c r="BF300"/>
  <c r="BF301"/>
  <c r="BF302"/>
  <c r="BF303"/>
  <c r="BF304"/>
  <c r="BF305"/>
  <c r="BF306"/>
  <c r="BF307"/>
  <c r="BF309"/>
  <c r="BF5"/>
  <c r="BF235" l="1"/>
  <c r="BG235"/>
  <c r="BF308"/>
  <c r="BF265"/>
  <c r="BG85"/>
  <c r="BB89"/>
  <c r="BB310" s="1"/>
  <c r="BG265"/>
  <c r="BC89"/>
  <c r="BC310" s="1"/>
  <c r="BG308"/>
  <c r="BG75"/>
  <c r="BG62"/>
  <c r="BF85"/>
  <c r="BF75"/>
  <c r="BF62"/>
  <c r="BF33"/>
  <c r="BG33"/>
  <c r="BF7"/>
  <c r="BF13"/>
  <c r="BG10"/>
  <c r="BF16"/>
  <c r="BF10"/>
  <c r="BG179"/>
  <c r="BG13"/>
  <c r="BF179"/>
  <c r="BG184"/>
  <c r="BG39"/>
  <c r="BF139"/>
  <c r="BF24"/>
  <c r="BF26" s="1"/>
  <c r="BF217"/>
  <c r="BF213"/>
  <c r="BF134"/>
  <c r="BF125"/>
  <c r="BF82"/>
  <c r="BF43"/>
  <c r="BF36"/>
  <c r="BG290"/>
  <c r="BG134"/>
  <c r="BG82"/>
  <c r="BG52"/>
  <c r="BG43"/>
  <c r="BG36"/>
  <c r="BF52"/>
  <c r="BG125"/>
  <c r="BF286"/>
  <c r="BF288" s="1"/>
  <c r="BF256"/>
  <c r="BF253"/>
  <c r="BF187"/>
  <c r="BF160"/>
  <c r="BF142"/>
  <c r="BF110"/>
  <c r="BF104"/>
  <c r="BF98"/>
  <c r="BF93"/>
  <c r="BF79"/>
  <c r="BF68"/>
  <c r="BF59"/>
  <c r="BF49"/>
  <c r="BF29"/>
  <c r="BG286"/>
  <c r="BG288" s="1"/>
  <c r="BG187"/>
  <c r="BG160"/>
  <c r="BG110"/>
  <c r="BG98"/>
  <c r="BG93"/>
  <c r="BG79"/>
  <c r="BG68"/>
  <c r="BG59"/>
  <c r="BG29"/>
  <c r="BG142"/>
  <c r="BG104"/>
  <c r="BG49"/>
  <c r="BG7"/>
  <c r="BG24"/>
  <c r="BG26" s="1"/>
  <c r="BF269"/>
  <c r="BF271" s="1"/>
  <c r="BF248"/>
  <c r="BF225"/>
  <c r="BF221"/>
  <c r="BF209"/>
  <c r="BF195"/>
  <c r="BF191"/>
  <c r="BF184"/>
  <c r="BF174"/>
  <c r="BF168"/>
  <c r="BF156"/>
  <c r="BF122"/>
  <c r="BF117"/>
  <c r="BF56"/>
  <c r="BF39"/>
  <c r="BG269"/>
  <c r="BG271" s="1"/>
  <c r="BG191"/>
  <c r="BG174"/>
  <c r="BG168"/>
  <c r="BG156"/>
  <c r="BG122"/>
  <c r="BG117"/>
  <c r="BG56"/>
  <c r="BF260"/>
  <c r="BF238"/>
  <c r="BF228"/>
  <c r="BF205"/>
  <c r="BF164"/>
  <c r="BF146"/>
  <c r="BF113"/>
  <c r="BF107"/>
  <c r="BF101"/>
  <c r="BF71"/>
  <c r="BF65"/>
  <c r="BG260"/>
  <c r="BG146"/>
  <c r="BG113"/>
  <c r="BG107"/>
  <c r="BG101"/>
  <c r="BG164"/>
  <c r="BG139"/>
  <c r="BG71"/>
  <c r="BG65"/>
  <c r="BG16"/>
  <c r="BG213"/>
  <c r="BG248"/>
  <c r="BG225"/>
  <c r="BG221"/>
  <c r="BG209"/>
  <c r="BG195"/>
  <c r="BG253"/>
  <c r="BG217"/>
  <c r="BG256"/>
  <c r="BG238"/>
  <c r="BG228"/>
  <c r="BG205"/>
  <c r="BF262" l="1"/>
  <c r="BG223"/>
  <c r="BF223"/>
  <c r="BG89"/>
  <c r="BF89"/>
  <c r="BG240"/>
  <c r="BF240"/>
  <c r="BG135"/>
  <c r="BF135"/>
  <c r="BG185"/>
  <c r="BF185"/>
  <c r="BG262"/>
  <c r="AZ31"/>
  <c r="BM31" s="1"/>
  <c r="AZ32"/>
  <c r="BM32" s="1"/>
  <c r="AZ47"/>
  <c r="BM47" s="1"/>
  <c r="AZ48"/>
  <c r="BM48" s="1"/>
  <c r="AZ55"/>
  <c r="BM55" s="1"/>
  <c r="AZ61"/>
  <c r="BM61" s="1"/>
  <c r="AZ73"/>
  <c r="BM73" s="1"/>
  <c r="AZ74"/>
  <c r="BM74" s="1"/>
  <c r="AZ84"/>
  <c r="BM84" s="1"/>
  <c r="AZ88"/>
  <c r="BM88" s="1"/>
  <c r="AX229"/>
  <c r="BR55" l="1"/>
  <c r="BR74"/>
  <c r="BR48"/>
  <c r="BR84"/>
  <c r="BR61"/>
  <c r="BR32"/>
  <c r="BF310"/>
  <c r="BR31"/>
  <c r="BV31" s="1"/>
  <c r="BR73"/>
  <c r="BR47"/>
  <c r="BV47" s="1"/>
  <c r="BG310"/>
  <c r="BE74"/>
  <c r="BE73"/>
  <c r="BE47"/>
  <c r="BE88"/>
  <c r="BE61"/>
  <c r="BE32"/>
  <c r="BE84"/>
  <c r="BE55"/>
  <c r="BE31"/>
  <c r="BE48"/>
  <c r="AX120"/>
  <c r="AX94"/>
  <c r="BV73" l="1"/>
  <c r="BV61"/>
  <c r="BV55"/>
  <c r="BV32"/>
  <c r="BV33" s="1"/>
  <c r="BV74"/>
  <c r="BV48"/>
  <c r="BV84"/>
  <c r="BV49" l="1"/>
  <c r="BV75"/>
  <c r="BV62"/>
  <c r="BN55"/>
  <c r="BD55" l="1"/>
  <c r="AW290" l="1"/>
  <c r="AX290"/>
  <c r="AW286"/>
  <c r="AW288" s="1"/>
  <c r="AX286"/>
  <c r="AX288" s="1"/>
  <c r="AW269"/>
  <c r="AW271" s="1"/>
  <c r="AX269"/>
  <c r="AX271" s="1"/>
  <c r="AW260"/>
  <c r="AX260"/>
  <c r="AW256"/>
  <c r="AX256"/>
  <c r="AW253"/>
  <c r="AX253"/>
  <c r="AW248"/>
  <c r="AX248"/>
  <c r="AW238"/>
  <c r="AX238"/>
  <c r="AW228"/>
  <c r="AX228"/>
  <c r="AW225"/>
  <c r="AX225"/>
  <c r="AW221"/>
  <c r="AX221"/>
  <c r="AW217"/>
  <c r="AX217"/>
  <c r="AW213"/>
  <c r="AX213"/>
  <c r="AW209"/>
  <c r="AX209"/>
  <c r="AW205"/>
  <c r="AX205"/>
  <c r="AW195"/>
  <c r="AX195"/>
  <c r="AW191"/>
  <c r="AX191"/>
  <c r="AW187"/>
  <c r="AX187"/>
  <c r="AW184"/>
  <c r="AX184"/>
  <c r="AW179"/>
  <c r="AX179"/>
  <c r="AW174"/>
  <c r="AX174"/>
  <c r="AW168"/>
  <c r="AX168"/>
  <c r="AW164"/>
  <c r="AX164"/>
  <c r="AW160"/>
  <c r="AX160"/>
  <c r="AW156"/>
  <c r="AX156"/>
  <c r="AW146"/>
  <c r="AX146"/>
  <c r="AW142"/>
  <c r="AX142"/>
  <c r="AW139"/>
  <c r="AX139"/>
  <c r="AW134"/>
  <c r="AX134"/>
  <c r="AW125"/>
  <c r="AX125"/>
  <c r="AW122"/>
  <c r="AX122"/>
  <c r="AW117"/>
  <c r="AX117"/>
  <c r="AW113"/>
  <c r="AX113"/>
  <c r="AW110"/>
  <c r="AX110"/>
  <c r="AW107"/>
  <c r="AX107"/>
  <c r="AW104"/>
  <c r="AX104"/>
  <c r="AW101"/>
  <c r="AX101"/>
  <c r="AW98"/>
  <c r="AX98"/>
  <c r="AW93"/>
  <c r="AX93"/>
  <c r="AW82"/>
  <c r="AX82"/>
  <c r="AW79"/>
  <c r="AX79"/>
  <c r="AW71"/>
  <c r="AX71"/>
  <c r="AW68"/>
  <c r="AX68"/>
  <c r="AW65"/>
  <c r="AX65"/>
  <c r="AW59"/>
  <c r="AX59"/>
  <c r="AW56"/>
  <c r="AX56"/>
  <c r="AW52"/>
  <c r="AX52"/>
  <c r="AW49"/>
  <c r="AX49"/>
  <c r="AW43"/>
  <c r="AX43"/>
  <c r="AW39"/>
  <c r="AX39"/>
  <c r="AW36"/>
  <c r="AX36"/>
  <c r="AW29"/>
  <c r="AX29"/>
  <c r="AW24"/>
  <c r="AW26" s="1"/>
  <c r="AX24"/>
  <c r="AX26" s="1"/>
  <c r="AW16"/>
  <c r="AX16"/>
  <c r="AW13"/>
  <c r="AX13"/>
  <c r="AW10"/>
  <c r="AX10"/>
  <c r="AW7"/>
  <c r="AX7"/>
  <c r="BA55"/>
  <c r="AQ73"/>
  <c r="AY73" s="1"/>
  <c r="BL73" s="1"/>
  <c r="AQ74"/>
  <c r="AY74" s="1"/>
  <c r="BL74" s="1"/>
  <c r="AK61"/>
  <c r="BQ74" l="1"/>
  <c r="BU74" s="1"/>
  <c r="BQ73"/>
  <c r="BU73" s="1"/>
  <c r="AW89"/>
  <c r="AW135"/>
  <c r="AW185"/>
  <c r="AW223"/>
  <c r="AW240"/>
  <c r="AX89"/>
  <c r="AX135"/>
  <c r="AX185"/>
  <c r="AX223"/>
  <c r="AX240"/>
  <c r="AW262"/>
  <c r="AX262"/>
  <c r="AQ61"/>
  <c r="AY61" s="1"/>
  <c r="AK62"/>
  <c r="F56"/>
  <c r="G56"/>
  <c r="H56"/>
  <c r="I56"/>
  <c r="J56"/>
  <c r="K56"/>
  <c r="L56"/>
  <c r="N56"/>
  <c r="O56"/>
  <c r="P56"/>
  <c r="S56"/>
  <c r="T56"/>
  <c r="U56"/>
  <c r="Z56"/>
  <c r="AA56"/>
  <c r="AK56"/>
  <c r="AL56"/>
  <c r="AO56"/>
  <c r="AP56"/>
  <c r="AS56"/>
  <c r="AT56"/>
  <c r="AA47"/>
  <c r="Z47"/>
  <c r="AU47"/>
  <c r="AQ48"/>
  <c r="AM47"/>
  <c r="AI47"/>
  <c r="AG47"/>
  <c r="AQ31"/>
  <c r="AY31" s="1"/>
  <c r="AQ32"/>
  <c r="AY32" s="1"/>
  <c r="AW310" l="1"/>
  <c r="AX310"/>
  <c r="BD31"/>
  <c r="BL31"/>
  <c r="BD32"/>
  <c r="BL32"/>
  <c r="BA61"/>
  <c r="BL61"/>
  <c r="AY48"/>
  <c r="BA48" s="1"/>
  <c r="BD61"/>
  <c r="AQ47"/>
  <c r="AY47" s="1"/>
  <c r="BL47" s="1"/>
  <c r="BA31"/>
  <c r="BA32"/>
  <c r="BN47" l="1"/>
  <c r="BQ47"/>
  <c r="BU47" s="1"/>
  <c r="BN61"/>
  <c r="BQ61"/>
  <c r="BN32"/>
  <c r="BQ32"/>
  <c r="BN31"/>
  <c r="BQ31"/>
  <c r="BU31" s="1"/>
  <c r="BD48"/>
  <c r="BL48"/>
  <c r="BD47"/>
  <c r="BQ48" l="1"/>
  <c r="BU48" s="1"/>
  <c r="BN48"/>
  <c r="BA47"/>
  <c r="AV45"/>
  <c r="AV303"/>
  <c r="AV304"/>
  <c r="AV305"/>
  <c r="AV306"/>
  <c r="AV307"/>
  <c r="AU303"/>
  <c r="AU304"/>
  <c r="AU305"/>
  <c r="AU306"/>
  <c r="AU307"/>
  <c r="AV287"/>
  <c r="AV272"/>
  <c r="AV286" s="1"/>
  <c r="AV273"/>
  <c r="AV274"/>
  <c r="AV275"/>
  <c r="AV276"/>
  <c r="AV277"/>
  <c r="AV278"/>
  <c r="AV279"/>
  <c r="AV280"/>
  <c r="AV281"/>
  <c r="AV282"/>
  <c r="AV283"/>
  <c r="AV284"/>
  <c r="AV285"/>
  <c r="AU272"/>
  <c r="AU286" s="1"/>
  <c r="AU273"/>
  <c r="AU274"/>
  <c r="AU275"/>
  <c r="AU276"/>
  <c r="AU277"/>
  <c r="AU278"/>
  <c r="AU279"/>
  <c r="AU280"/>
  <c r="AU281"/>
  <c r="AU282"/>
  <c r="AU283"/>
  <c r="AU284"/>
  <c r="AU285"/>
  <c r="AV224"/>
  <c r="AV225" s="1"/>
  <c r="AV207"/>
  <c r="AV288" l="1"/>
  <c r="BN73" l="1"/>
  <c r="AS7"/>
  <c r="AT7"/>
  <c r="AS10"/>
  <c r="AT10"/>
  <c r="AS13"/>
  <c r="AT13"/>
  <c r="AT16"/>
  <c r="AT24"/>
  <c r="AT26" s="1"/>
  <c r="AS29"/>
  <c r="AT29"/>
  <c r="AS36"/>
  <c r="AT36"/>
  <c r="AS43"/>
  <c r="AT43"/>
  <c r="AS39"/>
  <c r="AT39"/>
  <c r="AS52"/>
  <c r="AT52"/>
  <c r="AS59"/>
  <c r="AT59"/>
  <c r="AS65"/>
  <c r="AT65"/>
  <c r="AS68"/>
  <c r="AT68"/>
  <c r="AS71"/>
  <c r="AT71"/>
  <c r="AS79"/>
  <c r="AT79"/>
  <c r="AS49"/>
  <c r="AT49"/>
  <c r="AS16"/>
  <c r="AU25"/>
  <c r="AU37"/>
  <c r="AT146"/>
  <c r="BN74" l="1"/>
  <c r="BD73"/>
  <c r="BA73"/>
  <c r="AV309"/>
  <c r="AS93"/>
  <c r="AT93"/>
  <c r="AU224"/>
  <c r="AU225" s="1"/>
  <c r="AU287"/>
  <c r="AU288" s="1"/>
  <c r="AU309"/>
  <c r="AS122"/>
  <c r="AT122"/>
  <c r="AS98"/>
  <c r="AT98"/>
  <c r="AS82"/>
  <c r="AT82"/>
  <c r="AT89" s="1"/>
  <c r="AS24"/>
  <c r="AS26" s="1"/>
  <c r="AS89" l="1"/>
  <c r="BD74"/>
  <c r="BA74"/>
  <c r="AS290" l="1"/>
  <c r="AT290"/>
  <c r="AS286"/>
  <c r="AS288" s="1"/>
  <c r="AT286"/>
  <c r="AT288" s="1"/>
  <c r="AS269"/>
  <c r="AS271" s="1"/>
  <c r="AT269"/>
  <c r="AT271" s="1"/>
  <c r="AS260"/>
  <c r="AT260"/>
  <c r="AS256"/>
  <c r="AT256"/>
  <c r="AS253"/>
  <c r="AT253"/>
  <c r="AS248"/>
  <c r="AT248"/>
  <c r="AS238"/>
  <c r="AT238"/>
  <c r="AS228"/>
  <c r="AT228"/>
  <c r="AS225"/>
  <c r="AT225"/>
  <c r="AS221"/>
  <c r="AT221"/>
  <c r="AS217"/>
  <c r="AT217"/>
  <c r="AS213"/>
  <c r="AT213"/>
  <c r="AS209"/>
  <c r="AT209"/>
  <c r="AS205"/>
  <c r="AT205"/>
  <c r="AS195"/>
  <c r="AT195"/>
  <c r="AS191"/>
  <c r="AT191"/>
  <c r="AS187"/>
  <c r="AT187"/>
  <c r="AS184"/>
  <c r="AT184"/>
  <c r="AS179"/>
  <c r="AT179"/>
  <c r="AS174"/>
  <c r="AT174"/>
  <c r="AS168"/>
  <c r="AT168"/>
  <c r="AS164"/>
  <c r="AT164"/>
  <c r="AS160"/>
  <c r="AT160"/>
  <c r="AS156"/>
  <c r="AT156"/>
  <c r="AS146"/>
  <c r="AS142"/>
  <c r="AT142"/>
  <c r="AS139"/>
  <c r="AT139"/>
  <c r="AS134"/>
  <c r="AT134"/>
  <c r="AS125"/>
  <c r="AT125"/>
  <c r="AS117"/>
  <c r="AT117"/>
  <c r="AS113"/>
  <c r="AT113"/>
  <c r="AS110"/>
  <c r="AT110"/>
  <c r="AS107"/>
  <c r="AT107"/>
  <c r="AS104"/>
  <c r="AT104"/>
  <c r="AS101"/>
  <c r="AT101"/>
  <c r="AS135" l="1"/>
  <c r="AT185"/>
  <c r="AT223"/>
  <c r="AT240"/>
  <c r="AT135"/>
  <c r="AS185"/>
  <c r="AS223"/>
  <c r="AS240"/>
  <c r="AT262"/>
  <c r="AS262"/>
  <c r="AS310" l="1"/>
  <c r="AT310"/>
  <c r="BN84" l="1"/>
  <c r="BD84"/>
  <c r="BA84"/>
  <c r="AO7"/>
  <c r="AP7"/>
  <c r="AO10"/>
  <c r="AP10"/>
  <c r="AO13"/>
  <c r="AP13"/>
  <c r="AO16"/>
  <c r="AP16"/>
  <c r="AO24"/>
  <c r="AO26" s="1"/>
  <c r="AP24"/>
  <c r="AP26" s="1"/>
  <c r="AO29"/>
  <c r="AP29"/>
  <c r="AO36"/>
  <c r="AP36"/>
  <c r="AO39"/>
  <c r="AP39"/>
  <c r="AO43"/>
  <c r="AP43"/>
  <c r="AO52"/>
  <c r="AP52"/>
  <c r="AO49"/>
  <c r="AP49"/>
  <c r="AO59"/>
  <c r="AP59"/>
  <c r="AO65"/>
  <c r="AP65"/>
  <c r="AO68"/>
  <c r="AP68"/>
  <c r="AO71"/>
  <c r="AP71"/>
  <c r="AO79"/>
  <c r="AP79"/>
  <c r="AO82"/>
  <c r="AP82"/>
  <c r="AO93"/>
  <c r="AP93"/>
  <c r="AO98"/>
  <c r="AP98"/>
  <c r="AO101"/>
  <c r="AP101"/>
  <c r="AO104"/>
  <c r="AP104"/>
  <c r="AO107"/>
  <c r="AP107"/>
  <c r="AO110"/>
  <c r="AP110"/>
  <c r="AO113"/>
  <c r="AP113"/>
  <c r="AO117"/>
  <c r="AP117"/>
  <c r="AO122"/>
  <c r="AP122"/>
  <c r="AO125"/>
  <c r="AP125"/>
  <c r="AO134"/>
  <c r="AP134"/>
  <c r="AO139"/>
  <c r="AP139"/>
  <c r="AO142"/>
  <c r="AP142"/>
  <c r="AO146"/>
  <c r="AP146"/>
  <c r="AO156"/>
  <c r="AP156"/>
  <c r="AO160"/>
  <c r="AP160"/>
  <c r="AO164"/>
  <c r="AP164"/>
  <c r="AO168"/>
  <c r="AP168"/>
  <c r="AO174"/>
  <c r="AP174"/>
  <c r="AO179"/>
  <c r="AP179"/>
  <c r="AO184"/>
  <c r="AP184"/>
  <c r="AO187"/>
  <c r="AP187"/>
  <c r="AO191"/>
  <c r="AP191"/>
  <c r="AO195"/>
  <c r="AP195"/>
  <c r="AO205"/>
  <c r="AP205"/>
  <c r="AO209"/>
  <c r="AP209"/>
  <c r="AO213"/>
  <c r="AP213"/>
  <c r="AO217"/>
  <c r="AP217"/>
  <c r="AO221"/>
  <c r="AP221"/>
  <c r="AO225"/>
  <c r="AP225"/>
  <c r="AO228"/>
  <c r="AP228"/>
  <c r="AO238"/>
  <c r="AP238"/>
  <c r="AO248"/>
  <c r="AP248"/>
  <c r="AO253"/>
  <c r="AP253"/>
  <c r="AO256"/>
  <c r="AP256"/>
  <c r="AO260"/>
  <c r="AP260"/>
  <c r="AO269"/>
  <c r="AO271" s="1"/>
  <c r="AP269"/>
  <c r="AP271" s="1"/>
  <c r="AO286"/>
  <c r="AO288" s="1"/>
  <c r="AP286"/>
  <c r="AP288" s="1"/>
  <c r="AO290"/>
  <c r="AP290"/>
  <c r="AO89" l="1"/>
  <c r="AO262"/>
  <c r="AO223"/>
  <c r="AO185"/>
  <c r="AP262"/>
  <c r="AP185"/>
  <c r="AP135"/>
  <c r="AP223"/>
  <c r="AP89"/>
  <c r="AO135"/>
  <c r="AP240"/>
  <c r="AO240"/>
  <c r="AN186"/>
  <c r="AR186" s="1"/>
  <c r="AK238"/>
  <c r="AL238"/>
  <c r="AK248"/>
  <c r="AL248"/>
  <c r="AK253"/>
  <c r="AL253"/>
  <c r="AK256"/>
  <c r="AL256"/>
  <c r="AK260"/>
  <c r="AL260"/>
  <c r="AK269"/>
  <c r="AK271" s="1"/>
  <c r="AL269"/>
  <c r="AL271" s="1"/>
  <c r="AK286"/>
  <c r="AK288" s="1"/>
  <c r="AL286"/>
  <c r="AL288" s="1"/>
  <c r="AK290"/>
  <c r="AL290"/>
  <c r="AL7"/>
  <c r="AL10"/>
  <c r="AL13"/>
  <c r="AL16"/>
  <c r="AL24"/>
  <c r="AL26" s="1"/>
  <c r="AL29"/>
  <c r="AL36"/>
  <c r="AL39"/>
  <c r="AL43"/>
  <c r="AL49"/>
  <c r="AL52"/>
  <c r="AL59"/>
  <c r="AL65"/>
  <c r="AL68"/>
  <c r="AL71"/>
  <c r="AL79"/>
  <c r="AK82"/>
  <c r="AL82"/>
  <c r="AK93"/>
  <c r="AL93"/>
  <c r="AK98"/>
  <c r="AL98"/>
  <c r="AK101"/>
  <c r="AL101"/>
  <c r="AK104"/>
  <c r="AL104"/>
  <c r="AK107"/>
  <c r="AL107"/>
  <c r="AK110"/>
  <c r="AL110"/>
  <c r="AK113"/>
  <c r="AL113"/>
  <c r="AK117"/>
  <c r="AL117"/>
  <c r="AK122"/>
  <c r="AL122"/>
  <c r="AK125"/>
  <c r="AL125"/>
  <c r="AK134"/>
  <c r="AL134"/>
  <c r="AK139"/>
  <c r="AL139"/>
  <c r="AK142"/>
  <c r="AL142"/>
  <c r="AK146"/>
  <c r="AL146"/>
  <c r="AK156"/>
  <c r="AL156"/>
  <c r="AK160"/>
  <c r="AL160"/>
  <c r="AK164"/>
  <c r="AL164"/>
  <c r="AK168"/>
  <c r="AL168"/>
  <c r="AK174"/>
  <c r="AL174"/>
  <c r="AK179"/>
  <c r="AL179"/>
  <c r="AK184"/>
  <c r="AL184"/>
  <c r="AK187"/>
  <c r="AL187"/>
  <c r="AK191"/>
  <c r="AL191"/>
  <c r="AK195"/>
  <c r="AL195"/>
  <c r="AK205"/>
  <c r="AL205"/>
  <c r="AK209"/>
  <c r="AL209"/>
  <c r="AL217"/>
  <c r="AL225"/>
  <c r="AL228"/>
  <c r="AK71"/>
  <c r="AK68"/>
  <c r="AK65"/>
  <c r="AK59"/>
  <c r="AK52"/>
  <c r="AK49"/>
  <c r="AK43"/>
  <c r="AK39"/>
  <c r="AK36"/>
  <c r="AK29"/>
  <c r="AK24"/>
  <c r="AK26" s="1"/>
  <c r="AK16"/>
  <c r="AK13"/>
  <c r="AK10"/>
  <c r="AK7"/>
  <c r="AK221"/>
  <c r="AN207"/>
  <c r="AR207" s="1"/>
  <c r="AZ207" s="1"/>
  <c r="BM207" s="1"/>
  <c r="AN224"/>
  <c r="AN273"/>
  <c r="AN274"/>
  <c r="AN275"/>
  <c r="AN276"/>
  <c r="AN277"/>
  <c r="AN278"/>
  <c r="AN279"/>
  <c r="AN280"/>
  <c r="AN281"/>
  <c r="AN282"/>
  <c r="AN283"/>
  <c r="AN284"/>
  <c r="AN285"/>
  <c r="AN287"/>
  <c r="AN303"/>
  <c r="AN304"/>
  <c r="AN305"/>
  <c r="AN306"/>
  <c r="AN307"/>
  <c r="AN309"/>
  <c r="AM25"/>
  <c r="AM37"/>
  <c r="AM224"/>
  <c r="AM273"/>
  <c r="AM274"/>
  <c r="AM275"/>
  <c r="AM276"/>
  <c r="AM277"/>
  <c r="AM278"/>
  <c r="AM279"/>
  <c r="AM280"/>
  <c r="AM281"/>
  <c r="AM282"/>
  <c r="AM283"/>
  <c r="AM284"/>
  <c r="AM285"/>
  <c r="AM287"/>
  <c r="AM303"/>
  <c r="AM304"/>
  <c r="AM305"/>
  <c r="AM306"/>
  <c r="AM307"/>
  <c r="AM309"/>
  <c r="AL218"/>
  <c r="AL221" s="1"/>
  <c r="AL185" l="1"/>
  <c r="AL135"/>
  <c r="BR207"/>
  <c r="AK185"/>
  <c r="AK135"/>
  <c r="AP310"/>
  <c r="AL262"/>
  <c r="AK262"/>
  <c r="AO310"/>
  <c r="BN88"/>
  <c r="BP88"/>
  <c r="AL89"/>
  <c r="AL240"/>
  <c r="BE207"/>
  <c r="AR187"/>
  <c r="AN225"/>
  <c r="AM225"/>
  <c r="AJ311"/>
  <c r="AN187"/>
  <c r="BT88" l="1"/>
  <c r="BR88"/>
  <c r="BD88"/>
  <c r="BA88"/>
  <c r="BO88" s="1"/>
  <c r="T308"/>
  <c r="U308"/>
  <c r="Z308"/>
  <c r="AA308"/>
  <c r="T290"/>
  <c r="U290"/>
  <c r="Z290"/>
  <c r="AA290"/>
  <c r="T286"/>
  <c r="T288" s="1"/>
  <c r="U286"/>
  <c r="U288" s="1"/>
  <c r="V286"/>
  <c r="Z286"/>
  <c r="Z288" s="1"/>
  <c r="AA286"/>
  <c r="AA288" s="1"/>
  <c r="T269"/>
  <c r="T271" s="1"/>
  <c r="U269"/>
  <c r="U271" s="1"/>
  <c r="Z269"/>
  <c r="Z271" s="1"/>
  <c r="AA269"/>
  <c r="AA271" s="1"/>
  <c r="T265"/>
  <c r="U265"/>
  <c r="Z265"/>
  <c r="AA265"/>
  <c r="T260"/>
  <c r="U260"/>
  <c r="Z260"/>
  <c r="AA260"/>
  <c r="AA256"/>
  <c r="T256"/>
  <c r="U256"/>
  <c r="Z256"/>
  <c r="T253"/>
  <c r="U253"/>
  <c r="Z253"/>
  <c r="AA253"/>
  <c r="T248"/>
  <c r="U248"/>
  <c r="Z248"/>
  <c r="AA248"/>
  <c r="T238"/>
  <c r="U238"/>
  <c r="Z238"/>
  <c r="AA238"/>
  <c r="T228"/>
  <c r="U228"/>
  <c r="Z228"/>
  <c r="AA228"/>
  <c r="T225"/>
  <c r="U225"/>
  <c r="V225"/>
  <c r="Z225"/>
  <c r="AA225"/>
  <c r="T221"/>
  <c r="U221"/>
  <c r="Z221"/>
  <c r="AA221"/>
  <c r="T217"/>
  <c r="U217"/>
  <c r="Z217"/>
  <c r="AA217"/>
  <c r="T213"/>
  <c r="U213"/>
  <c r="Z213"/>
  <c r="AA213"/>
  <c r="T209"/>
  <c r="U209"/>
  <c r="Z209"/>
  <c r="AA209"/>
  <c r="T205"/>
  <c r="U205"/>
  <c r="Z205"/>
  <c r="AA205"/>
  <c r="T195"/>
  <c r="U195"/>
  <c r="Z195"/>
  <c r="AA195"/>
  <c r="T191"/>
  <c r="U191"/>
  <c r="Z191"/>
  <c r="AA191"/>
  <c r="T187"/>
  <c r="U187"/>
  <c r="Z187"/>
  <c r="AA187"/>
  <c r="T139"/>
  <c r="U139"/>
  <c r="Z139"/>
  <c r="AA139"/>
  <c r="T184"/>
  <c r="U184"/>
  <c r="Z184"/>
  <c r="AA184"/>
  <c r="T179"/>
  <c r="U179"/>
  <c r="Z179"/>
  <c r="AA179"/>
  <c r="T174"/>
  <c r="U174"/>
  <c r="Z174"/>
  <c r="AA174"/>
  <c r="T168"/>
  <c r="U168"/>
  <c r="Z168"/>
  <c r="AA168"/>
  <c r="T164"/>
  <c r="U164"/>
  <c r="Z164"/>
  <c r="AA164"/>
  <c r="T160"/>
  <c r="U160"/>
  <c r="Z160"/>
  <c r="AA160"/>
  <c r="V157"/>
  <c r="W157"/>
  <c r="Y157" s="1"/>
  <c r="AE157" s="1"/>
  <c r="T156"/>
  <c r="U156"/>
  <c r="Z156"/>
  <c r="AA156"/>
  <c r="T146"/>
  <c r="U146"/>
  <c r="Z146"/>
  <c r="AA146"/>
  <c r="T142"/>
  <c r="U142"/>
  <c r="Z142"/>
  <c r="AA142"/>
  <c r="T134"/>
  <c r="U134"/>
  <c r="Z134"/>
  <c r="AA134"/>
  <c r="T125"/>
  <c r="U125"/>
  <c r="Z125"/>
  <c r="AA125"/>
  <c r="T122"/>
  <c r="U122"/>
  <c r="Z122"/>
  <c r="AA122"/>
  <c r="T117"/>
  <c r="U117"/>
  <c r="Z117"/>
  <c r="AA117"/>
  <c r="T113"/>
  <c r="U113"/>
  <c r="Z113"/>
  <c r="AA113"/>
  <c r="T110"/>
  <c r="U110"/>
  <c r="Z110"/>
  <c r="AA110"/>
  <c r="T107"/>
  <c r="U107"/>
  <c r="Z107"/>
  <c r="AA107"/>
  <c r="T104"/>
  <c r="U104"/>
  <c r="Z104"/>
  <c r="AA104"/>
  <c r="T101"/>
  <c r="U101"/>
  <c r="Z101"/>
  <c r="AA101"/>
  <c r="T98"/>
  <c r="U98"/>
  <c r="Z98"/>
  <c r="AA98"/>
  <c r="T93"/>
  <c r="U93"/>
  <c r="Z93"/>
  <c r="AA93"/>
  <c r="T85"/>
  <c r="U85"/>
  <c r="Z85"/>
  <c r="AA85"/>
  <c r="T82"/>
  <c r="U82"/>
  <c r="Z82"/>
  <c r="AA82"/>
  <c r="T79"/>
  <c r="U79"/>
  <c r="Z79"/>
  <c r="AA79"/>
  <c r="T75"/>
  <c r="U75"/>
  <c r="Z75"/>
  <c r="AA75"/>
  <c r="T71"/>
  <c r="U71"/>
  <c r="Z71"/>
  <c r="AA71"/>
  <c r="T68"/>
  <c r="U68"/>
  <c r="Z68"/>
  <c r="AA68"/>
  <c r="T65"/>
  <c r="U65"/>
  <c r="Z65"/>
  <c r="AA65"/>
  <c r="T62"/>
  <c r="U62"/>
  <c r="Z62"/>
  <c r="AA62"/>
  <c r="T59"/>
  <c r="U59"/>
  <c r="Z59"/>
  <c r="AA59"/>
  <c r="T52"/>
  <c r="U52"/>
  <c r="Z52"/>
  <c r="AA52"/>
  <c r="T49"/>
  <c r="U49"/>
  <c r="Z49"/>
  <c r="AA49"/>
  <c r="T43"/>
  <c r="U43"/>
  <c r="Z43"/>
  <c r="AA43"/>
  <c r="T39"/>
  <c r="U39"/>
  <c r="Z39"/>
  <c r="AA39"/>
  <c r="T36"/>
  <c r="U36"/>
  <c r="Z36"/>
  <c r="AA36"/>
  <c r="T33"/>
  <c r="U33"/>
  <c r="Z33"/>
  <c r="AA33"/>
  <c r="T29"/>
  <c r="U29"/>
  <c r="Z29"/>
  <c r="AA29"/>
  <c r="T24"/>
  <c r="T26" s="1"/>
  <c r="U24"/>
  <c r="U26" s="1"/>
  <c r="Z24"/>
  <c r="Z26" s="1"/>
  <c r="AA24"/>
  <c r="AA26" s="1"/>
  <c r="Z16"/>
  <c r="T16"/>
  <c r="U16"/>
  <c r="AA16"/>
  <c r="T13"/>
  <c r="U13"/>
  <c r="Z13"/>
  <c r="AA13"/>
  <c r="T10"/>
  <c r="U10"/>
  <c r="AA10"/>
  <c r="BV88" l="1"/>
  <c r="Z135"/>
  <c r="BS88"/>
  <c r="BQ88"/>
  <c r="AV157"/>
  <c r="AN157"/>
  <c r="AR157" s="1"/>
  <c r="T185"/>
  <c r="U185"/>
  <c r="AA135"/>
  <c r="Z185"/>
  <c r="T223"/>
  <c r="U240"/>
  <c r="U262"/>
  <c r="T135"/>
  <c r="AA185"/>
  <c r="U223"/>
  <c r="Z240"/>
  <c r="Z262"/>
  <c r="U135"/>
  <c r="Z223"/>
  <c r="AA240"/>
  <c r="AA262"/>
  <c r="AA223"/>
  <c r="T240"/>
  <c r="T262"/>
  <c r="T7"/>
  <c r="T89" s="1"/>
  <c r="U7"/>
  <c r="U89" s="1"/>
  <c r="AA7"/>
  <c r="AA89" s="1"/>
  <c r="AB9"/>
  <c r="AB11"/>
  <c r="AB12"/>
  <c r="AB13"/>
  <c r="AB14"/>
  <c r="AB15"/>
  <c r="AB16"/>
  <c r="AB17"/>
  <c r="AB18"/>
  <c r="AB19"/>
  <c r="AB20"/>
  <c r="AB21"/>
  <c r="AB22"/>
  <c r="AB23"/>
  <c r="AB25"/>
  <c r="AC25" s="1"/>
  <c r="AB26"/>
  <c r="AB27"/>
  <c r="AB28"/>
  <c r="AB29"/>
  <c r="AB30"/>
  <c r="AB31"/>
  <c r="AB32"/>
  <c r="AB33"/>
  <c r="AB34"/>
  <c r="AB35"/>
  <c r="AB36"/>
  <c r="AB37"/>
  <c r="AC37" s="1"/>
  <c r="AB38"/>
  <c r="AB39"/>
  <c r="AB40"/>
  <c r="AB41"/>
  <c r="AB42"/>
  <c r="AB43"/>
  <c r="AB44"/>
  <c r="AB45"/>
  <c r="AB46"/>
  <c r="AB47"/>
  <c r="AB48"/>
  <c r="AB50"/>
  <c r="AB51"/>
  <c r="AB52"/>
  <c r="AB53"/>
  <c r="AB54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4"/>
  <c r="AC224" s="1"/>
  <c r="AB225"/>
  <c r="AB226"/>
  <c r="AB227"/>
  <c r="AB228"/>
  <c r="AB229"/>
  <c r="AB230"/>
  <c r="AB231"/>
  <c r="AB232"/>
  <c r="AB233"/>
  <c r="AB234"/>
  <c r="AB236"/>
  <c r="AB237"/>
  <c r="AB238"/>
  <c r="AB239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3"/>
  <c r="AB264"/>
  <c r="AB265"/>
  <c r="AB266"/>
  <c r="AB267"/>
  <c r="AB268"/>
  <c r="AB269"/>
  <c r="AB270"/>
  <c r="AB271"/>
  <c r="AB272"/>
  <c r="AB273"/>
  <c r="AC273" s="1"/>
  <c r="AB274"/>
  <c r="AB275"/>
  <c r="AC275" s="1"/>
  <c r="AB276"/>
  <c r="AC276" s="1"/>
  <c r="AB277"/>
  <c r="AC277" s="1"/>
  <c r="AB278"/>
  <c r="AC278" s="1"/>
  <c r="AB279"/>
  <c r="AC279" s="1"/>
  <c r="AB280"/>
  <c r="AC280" s="1"/>
  <c r="AB281"/>
  <c r="AC281" s="1"/>
  <c r="AB282"/>
  <c r="AC282" s="1"/>
  <c r="AB283"/>
  <c r="AC283" s="1"/>
  <c r="AB284"/>
  <c r="AC284" s="1"/>
  <c r="AB285"/>
  <c r="AC285" s="1"/>
  <c r="AB286"/>
  <c r="AB287"/>
  <c r="AC287" s="1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C303" s="1"/>
  <c r="AB304"/>
  <c r="AC304" s="1"/>
  <c r="AB305"/>
  <c r="AC305" s="1"/>
  <c r="AB306"/>
  <c r="AC306" s="1"/>
  <c r="AB307"/>
  <c r="AC307" s="1"/>
  <c r="AB308"/>
  <c r="AB309"/>
  <c r="AC309" s="1"/>
  <c r="AC274"/>
  <c r="AB135" l="1"/>
  <c r="BU88"/>
  <c r="AB223"/>
  <c r="AB185"/>
  <c r="AB262"/>
  <c r="AB240"/>
  <c r="AB56"/>
  <c r="AZ157"/>
  <c r="BM157" s="1"/>
  <c r="AA310"/>
  <c r="T310"/>
  <c r="U310"/>
  <c r="AB49"/>
  <c r="AB24"/>
  <c r="BR157" l="1"/>
  <c r="BE157"/>
  <c r="H308"/>
  <c r="H310" s="1"/>
  <c r="AK228" l="1"/>
  <c r="AK240" s="1"/>
  <c r="AK225"/>
  <c r="AK217"/>
  <c r="AK213"/>
  <c r="AL213"/>
  <c r="AL223" s="1"/>
  <c r="AL310" s="1"/>
  <c r="AK79"/>
  <c r="AK89" s="1"/>
  <c r="AJ224"/>
  <c r="AJ273"/>
  <c r="AJ274"/>
  <c r="AJ275"/>
  <c r="AJ276"/>
  <c r="AJ277"/>
  <c r="AJ278"/>
  <c r="AJ279"/>
  <c r="AJ280"/>
  <c r="AJ281"/>
  <c r="AJ282"/>
  <c r="AJ283"/>
  <c r="AJ284"/>
  <c r="AJ285"/>
  <c r="AJ287"/>
  <c r="AJ303"/>
  <c r="AJ304"/>
  <c r="AJ305"/>
  <c r="AJ306"/>
  <c r="AJ307"/>
  <c r="AJ309"/>
  <c r="AI25"/>
  <c r="AI37"/>
  <c r="AI224"/>
  <c r="AI273"/>
  <c r="AI274"/>
  <c r="AI275"/>
  <c r="AI276"/>
  <c r="AI277"/>
  <c r="AI278"/>
  <c r="AI279"/>
  <c r="AI280"/>
  <c r="AI281"/>
  <c r="AI282"/>
  <c r="AI283"/>
  <c r="AI284"/>
  <c r="AI285"/>
  <c r="AI287"/>
  <c r="AI303"/>
  <c r="AI304"/>
  <c r="AI305"/>
  <c r="AI306"/>
  <c r="AI307"/>
  <c r="AI309"/>
  <c r="AH224"/>
  <c r="AR224" s="1"/>
  <c r="AZ224" s="1"/>
  <c r="BM224" s="1"/>
  <c r="AH273"/>
  <c r="AH274"/>
  <c r="AH275"/>
  <c r="AH276"/>
  <c r="AH277"/>
  <c r="AH278"/>
  <c r="AH279"/>
  <c r="AH280"/>
  <c r="AH281"/>
  <c r="AH282"/>
  <c r="AH283"/>
  <c r="AH284"/>
  <c r="AH285"/>
  <c r="AH287"/>
  <c r="AH303"/>
  <c r="AH304"/>
  <c r="AH305"/>
  <c r="AH306"/>
  <c r="AH307"/>
  <c r="AH309"/>
  <c r="AG25"/>
  <c r="AG37"/>
  <c r="AQ37" s="1"/>
  <c r="AY37" s="1"/>
  <c r="BL37" s="1"/>
  <c r="AG224"/>
  <c r="AQ224" s="1"/>
  <c r="AY224" s="1"/>
  <c r="AG273"/>
  <c r="AG274"/>
  <c r="AG275"/>
  <c r="AG276"/>
  <c r="AG277"/>
  <c r="AG278"/>
  <c r="AG279"/>
  <c r="AG280"/>
  <c r="AG281"/>
  <c r="AG282"/>
  <c r="AG283"/>
  <c r="AG284"/>
  <c r="AG285"/>
  <c r="AG287"/>
  <c r="AG303"/>
  <c r="AG304"/>
  <c r="AG305"/>
  <c r="AG306"/>
  <c r="AG307"/>
  <c r="AG309"/>
  <c r="BQ37" l="1"/>
  <c r="BU37" s="1"/>
  <c r="BM225"/>
  <c r="AR307"/>
  <c r="AQ307"/>
  <c r="AK223"/>
  <c r="AK310" s="1"/>
  <c r="AY225"/>
  <c r="BL224"/>
  <c r="BD37"/>
  <c r="BE224"/>
  <c r="AZ225"/>
  <c r="AI225"/>
  <c r="AJ225"/>
  <c r="AR225"/>
  <c r="AQ225"/>
  <c r="AQ275"/>
  <c r="AY275" s="1"/>
  <c r="BL275" s="1"/>
  <c r="AQ285"/>
  <c r="AY285" s="1"/>
  <c r="BL285" s="1"/>
  <c r="AQ306"/>
  <c r="AY306" s="1"/>
  <c r="BL306" s="1"/>
  <c r="AQ287"/>
  <c r="AY287" s="1"/>
  <c r="BL287" s="1"/>
  <c r="AQ282"/>
  <c r="AY282" s="1"/>
  <c r="BL282" s="1"/>
  <c r="AQ278"/>
  <c r="AY278" s="1"/>
  <c r="BL278" s="1"/>
  <c r="AQ274"/>
  <c r="AY274" s="1"/>
  <c r="BL274" s="1"/>
  <c r="AQ25"/>
  <c r="AR305"/>
  <c r="AR285"/>
  <c r="AZ285" s="1"/>
  <c r="BM285" s="1"/>
  <c r="AR281"/>
  <c r="AR277"/>
  <c r="AR273"/>
  <c r="AQ283"/>
  <c r="AY283" s="1"/>
  <c r="BL283" s="1"/>
  <c r="AR306"/>
  <c r="AZ306" s="1"/>
  <c r="BM306" s="1"/>
  <c r="AR274"/>
  <c r="AZ274" s="1"/>
  <c r="BM274" s="1"/>
  <c r="AQ303"/>
  <c r="AY303" s="1"/>
  <c r="BL303" s="1"/>
  <c r="AQ279"/>
  <c r="AY279" s="1"/>
  <c r="BL279" s="1"/>
  <c r="AR287"/>
  <c r="AR282"/>
  <c r="AQ309"/>
  <c r="AY309" s="1"/>
  <c r="BL309" s="1"/>
  <c r="AQ304"/>
  <c r="AY304" s="1"/>
  <c r="BL304" s="1"/>
  <c r="AQ284"/>
  <c r="AY284" s="1"/>
  <c r="BL284" s="1"/>
  <c r="AQ280"/>
  <c r="AY280" s="1"/>
  <c r="BL280" s="1"/>
  <c r="AQ276"/>
  <c r="AY276" s="1"/>
  <c r="BL276" s="1"/>
  <c r="AR303"/>
  <c r="AZ303" s="1"/>
  <c r="BM303" s="1"/>
  <c r="AR283"/>
  <c r="AZ283" s="1"/>
  <c r="BM283" s="1"/>
  <c r="AR279"/>
  <c r="AR275"/>
  <c r="AR278"/>
  <c r="AZ278" s="1"/>
  <c r="BM278" s="1"/>
  <c r="AQ305"/>
  <c r="AY305" s="1"/>
  <c r="BL305" s="1"/>
  <c r="AQ281"/>
  <c r="AY281" s="1"/>
  <c r="BL281" s="1"/>
  <c r="AQ277"/>
  <c r="AY277" s="1"/>
  <c r="BL277" s="1"/>
  <c r="AQ273"/>
  <c r="AY273" s="1"/>
  <c r="BL273" s="1"/>
  <c r="AR309"/>
  <c r="AZ309" s="1"/>
  <c r="BM309" s="1"/>
  <c r="AR304"/>
  <c r="AR284"/>
  <c r="AR280"/>
  <c r="AZ280" s="1"/>
  <c r="BM280" s="1"/>
  <c r="AR276"/>
  <c r="AZ276" s="1"/>
  <c r="BM276" s="1"/>
  <c r="AG225"/>
  <c r="AH225"/>
  <c r="AF272"/>
  <c r="AF286" s="1"/>
  <c r="AF263"/>
  <c r="AF264"/>
  <c r="AF266"/>
  <c r="AF267"/>
  <c r="AF268"/>
  <c r="AF270"/>
  <c r="AF273"/>
  <c r="AF274"/>
  <c r="AF275"/>
  <c r="AF276"/>
  <c r="AF277"/>
  <c r="AF278"/>
  <c r="AF279"/>
  <c r="AF280"/>
  <c r="AF281"/>
  <c r="AF282"/>
  <c r="AF283"/>
  <c r="AF284"/>
  <c r="AF285"/>
  <c r="AF287"/>
  <c r="AF289"/>
  <c r="AF290" s="1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9"/>
  <c r="AF6"/>
  <c r="AF8"/>
  <c r="AF9"/>
  <c r="AF11"/>
  <c r="AF12"/>
  <c r="AF14"/>
  <c r="AF15"/>
  <c r="AF17"/>
  <c r="AF18"/>
  <c r="AF19"/>
  <c r="AF20"/>
  <c r="AF21"/>
  <c r="AF22"/>
  <c r="AF23"/>
  <c r="AF25"/>
  <c r="AF27"/>
  <c r="AF28"/>
  <c r="AF30"/>
  <c r="AF33" s="1"/>
  <c r="AF34"/>
  <c r="AF35"/>
  <c r="AF37"/>
  <c r="AF38"/>
  <c r="AF40"/>
  <c r="AF41"/>
  <c r="AF42"/>
  <c r="AF44"/>
  <c r="AF45"/>
  <c r="AF46"/>
  <c r="AF50"/>
  <c r="AF51"/>
  <c r="AF53"/>
  <c r="AF54"/>
  <c r="AF57"/>
  <c r="AF58"/>
  <c r="AF60"/>
  <c r="AF62" s="1"/>
  <c r="AF63"/>
  <c r="AF64"/>
  <c r="AF66"/>
  <c r="AF67"/>
  <c r="AF69"/>
  <c r="AF70"/>
  <c r="AF72"/>
  <c r="AF75" s="1"/>
  <c r="AF76"/>
  <c r="AF77"/>
  <c r="AF78"/>
  <c r="AF80"/>
  <c r="AF81"/>
  <c r="AF83"/>
  <c r="AF85" s="1"/>
  <c r="AF86"/>
  <c r="AF87"/>
  <c r="AF90"/>
  <c r="AF91"/>
  <c r="AF92"/>
  <c r="AF94"/>
  <c r="AF95"/>
  <c r="AF96"/>
  <c r="AF97"/>
  <c r="AF99"/>
  <c r="AF100"/>
  <c r="AF102"/>
  <c r="AF103"/>
  <c r="AF105"/>
  <c r="AF106"/>
  <c r="AF108"/>
  <c r="AF109"/>
  <c r="AF111"/>
  <c r="AF112"/>
  <c r="AF114"/>
  <c r="AF115"/>
  <c r="AF116"/>
  <c r="AF118"/>
  <c r="AF119"/>
  <c r="AF120"/>
  <c r="AF121"/>
  <c r="AF123"/>
  <c r="AF124"/>
  <c r="AF126"/>
  <c r="AF127"/>
  <c r="AF128"/>
  <c r="AF129"/>
  <c r="AF130"/>
  <c r="AF131"/>
  <c r="AF132"/>
  <c r="AF133"/>
  <c r="AF136"/>
  <c r="AF137"/>
  <c r="AF138"/>
  <c r="AF140"/>
  <c r="AF141"/>
  <c r="AF143"/>
  <c r="AF144"/>
  <c r="AF145"/>
  <c r="AF147"/>
  <c r="AF148"/>
  <c r="AF149"/>
  <c r="AF150"/>
  <c r="AF151"/>
  <c r="AF152"/>
  <c r="AF153"/>
  <c r="AF154"/>
  <c r="AF155"/>
  <c r="AF157"/>
  <c r="AF158"/>
  <c r="AF159"/>
  <c r="AF161"/>
  <c r="AF162"/>
  <c r="AF163"/>
  <c r="AF165"/>
  <c r="AF166"/>
  <c r="AF167"/>
  <c r="AF169"/>
  <c r="AF170"/>
  <c r="AF171"/>
  <c r="AF172"/>
  <c r="AF173"/>
  <c r="AF175"/>
  <c r="AF176"/>
  <c r="AF177"/>
  <c r="AF178"/>
  <c r="AF180"/>
  <c r="AF181"/>
  <c r="AF182"/>
  <c r="AF183"/>
  <c r="AF186"/>
  <c r="AF187" s="1"/>
  <c r="AF188"/>
  <c r="AF189"/>
  <c r="AF190"/>
  <c r="AF192"/>
  <c r="AF193"/>
  <c r="AF194"/>
  <c r="AF196"/>
  <c r="AF197"/>
  <c r="AF198"/>
  <c r="AF199"/>
  <c r="AF200"/>
  <c r="AF201"/>
  <c r="AF202"/>
  <c r="AF203"/>
  <c r="AF204"/>
  <c r="AF206"/>
  <c r="AF207"/>
  <c r="AF208"/>
  <c r="AF210"/>
  <c r="AF211"/>
  <c r="AF212"/>
  <c r="AF214"/>
  <c r="AF215"/>
  <c r="AF216"/>
  <c r="AF218"/>
  <c r="AF219"/>
  <c r="AF220"/>
  <c r="AF222"/>
  <c r="AF224"/>
  <c r="AF225" s="1"/>
  <c r="AF226"/>
  <c r="AF227"/>
  <c r="AF229"/>
  <c r="AF230"/>
  <c r="AF231"/>
  <c r="AF232"/>
  <c r="AF233"/>
  <c r="AF234"/>
  <c r="AF236"/>
  <c r="AF237"/>
  <c r="AF239"/>
  <c r="AF241"/>
  <c r="AF242"/>
  <c r="AF243"/>
  <c r="AF244"/>
  <c r="AF245"/>
  <c r="AF246"/>
  <c r="AF247"/>
  <c r="AF249"/>
  <c r="AF250"/>
  <c r="AF251"/>
  <c r="AF252"/>
  <c r="AF254"/>
  <c r="AF255"/>
  <c r="AF257"/>
  <c r="AF258"/>
  <c r="AF259"/>
  <c r="AF261"/>
  <c r="AF5"/>
  <c r="AF235" l="1"/>
  <c r="BR278"/>
  <c r="BQ279"/>
  <c r="BU279" s="1"/>
  <c r="BQ277"/>
  <c r="BU277" s="1"/>
  <c r="BQ276"/>
  <c r="BU276" s="1"/>
  <c r="BQ309"/>
  <c r="BU309" s="1"/>
  <c r="BQ303"/>
  <c r="BU303" s="1"/>
  <c r="BQ282"/>
  <c r="BU282" s="1"/>
  <c r="BQ275"/>
  <c r="BU275" s="1"/>
  <c r="BR280"/>
  <c r="BR303"/>
  <c r="BV303" s="1"/>
  <c r="BQ283"/>
  <c r="BU283" s="1"/>
  <c r="BR285"/>
  <c r="BQ278"/>
  <c r="BU278" s="1"/>
  <c r="BQ285"/>
  <c r="BU285" s="1"/>
  <c r="BR276"/>
  <c r="BR309"/>
  <c r="BV309" s="1"/>
  <c r="BQ305"/>
  <c r="BU305" s="1"/>
  <c r="BR283"/>
  <c r="BQ284"/>
  <c r="BU284" s="1"/>
  <c r="BR306"/>
  <c r="BV306" s="1"/>
  <c r="BQ274"/>
  <c r="BU274" s="1"/>
  <c r="BQ306"/>
  <c r="BU306" s="1"/>
  <c r="BQ273"/>
  <c r="BU273" s="1"/>
  <c r="BQ304"/>
  <c r="BU304" s="1"/>
  <c r="BQ281"/>
  <c r="BU281" s="1"/>
  <c r="BQ280"/>
  <c r="BU280" s="1"/>
  <c r="BR274"/>
  <c r="BQ287"/>
  <c r="BU287" s="1"/>
  <c r="BL225"/>
  <c r="BQ224"/>
  <c r="AF7"/>
  <c r="AZ307"/>
  <c r="BM307" s="1"/>
  <c r="AY307"/>
  <c r="BE274"/>
  <c r="BE276"/>
  <c r="BE309"/>
  <c r="BE283"/>
  <c r="BE306"/>
  <c r="BE280"/>
  <c r="BE278"/>
  <c r="BE303"/>
  <c r="BE285"/>
  <c r="AF238"/>
  <c r="AF228"/>
  <c r="AZ304"/>
  <c r="BM304" s="1"/>
  <c r="AZ279"/>
  <c r="BM279" s="1"/>
  <c r="AZ282"/>
  <c r="BM282" s="1"/>
  <c r="AZ277"/>
  <c r="BM277" s="1"/>
  <c r="AY25"/>
  <c r="BL25" s="1"/>
  <c r="BE225"/>
  <c r="AZ284"/>
  <c r="BM284" s="1"/>
  <c r="AZ275"/>
  <c r="BM275" s="1"/>
  <c r="AZ273"/>
  <c r="BM273" s="1"/>
  <c r="AZ305"/>
  <c r="BM305" s="1"/>
  <c r="AF56"/>
  <c r="AZ287"/>
  <c r="BM287" s="1"/>
  <c r="AZ281"/>
  <c r="BM281" s="1"/>
  <c r="AF29"/>
  <c r="AF179"/>
  <c r="AF164"/>
  <c r="AF139"/>
  <c r="AF113"/>
  <c r="AF107"/>
  <c r="AF101"/>
  <c r="AF71"/>
  <c r="AF65"/>
  <c r="AF260"/>
  <c r="AF39"/>
  <c r="AF205"/>
  <c r="AF217"/>
  <c r="AF125"/>
  <c r="AF16"/>
  <c r="AF256"/>
  <c r="AF98"/>
  <c r="AF68"/>
  <c r="AF104"/>
  <c r="AF59"/>
  <c r="AF213"/>
  <c r="AF134"/>
  <c r="AF10"/>
  <c r="AF269"/>
  <c r="AF271" s="1"/>
  <c r="AF82"/>
  <c r="AF265"/>
  <c r="AF146"/>
  <c r="AF142"/>
  <c r="AF110"/>
  <c r="AF93"/>
  <c r="AF253"/>
  <c r="AF160"/>
  <c r="AF79"/>
  <c r="AF52"/>
  <c r="AF43"/>
  <c r="AF36"/>
  <c r="AF308"/>
  <c r="AF248"/>
  <c r="AF221"/>
  <c r="AF209"/>
  <c r="AF195"/>
  <c r="AF191"/>
  <c r="AF184"/>
  <c r="AF174"/>
  <c r="AF168"/>
  <c r="AF156"/>
  <c r="AF122"/>
  <c r="AF117"/>
  <c r="AF49"/>
  <c r="AF24"/>
  <c r="AF26" s="1"/>
  <c r="AF13"/>
  <c r="AF288"/>
  <c r="AD225"/>
  <c r="AE225"/>
  <c r="W114"/>
  <c r="Y114" s="1"/>
  <c r="AE114" s="1"/>
  <c r="BV274" l="1"/>
  <c r="BV276"/>
  <c r="BV285"/>
  <c r="BV280"/>
  <c r="BV278"/>
  <c r="BV283"/>
  <c r="BR275"/>
  <c r="BR307"/>
  <c r="BV307" s="1"/>
  <c r="BR284"/>
  <c r="BR282"/>
  <c r="BR277"/>
  <c r="BR281"/>
  <c r="BR273"/>
  <c r="BQ25"/>
  <c r="BR304"/>
  <c r="BV304" s="1"/>
  <c r="BR287"/>
  <c r="BR305"/>
  <c r="BV305" s="1"/>
  <c r="BR279"/>
  <c r="BQ225"/>
  <c r="BU224"/>
  <c r="BL307"/>
  <c r="BE307"/>
  <c r="BE304"/>
  <c r="BE281"/>
  <c r="BE305"/>
  <c r="BE277"/>
  <c r="BE279"/>
  <c r="BE284"/>
  <c r="BE287"/>
  <c r="BE273"/>
  <c r="BE275"/>
  <c r="BE282"/>
  <c r="AF240"/>
  <c r="AF262"/>
  <c r="BD25"/>
  <c r="AC225"/>
  <c r="AN114"/>
  <c r="AH114"/>
  <c r="AJ114"/>
  <c r="AF135"/>
  <c r="AF89"/>
  <c r="AF223"/>
  <c r="AF185"/>
  <c r="X224"/>
  <c r="X225" s="1"/>
  <c r="X273"/>
  <c r="X274"/>
  <c r="X275"/>
  <c r="X276"/>
  <c r="X277"/>
  <c r="X278"/>
  <c r="X279"/>
  <c r="X280"/>
  <c r="X281"/>
  <c r="X282"/>
  <c r="X283"/>
  <c r="X284"/>
  <c r="X285"/>
  <c r="X303"/>
  <c r="X304"/>
  <c r="X305"/>
  <c r="X306"/>
  <c r="X307"/>
  <c r="X309"/>
  <c r="W272"/>
  <c r="W302"/>
  <c r="Y302" s="1"/>
  <c r="AE302" s="1"/>
  <c r="V302"/>
  <c r="W301"/>
  <c r="Y301" s="1"/>
  <c r="AE301" s="1"/>
  <c r="V301"/>
  <c r="W300"/>
  <c r="Y300" s="1"/>
  <c r="AE300" s="1"/>
  <c r="V300"/>
  <c r="W299"/>
  <c r="Y299" s="1"/>
  <c r="AE299" s="1"/>
  <c r="V299"/>
  <c r="W298"/>
  <c r="Y298" s="1"/>
  <c r="AE298" s="1"/>
  <c r="V298"/>
  <c r="W297"/>
  <c r="Y297" s="1"/>
  <c r="AE297" s="1"/>
  <c r="V297"/>
  <c r="W296"/>
  <c r="Y296" s="1"/>
  <c r="AE296" s="1"/>
  <c r="V296"/>
  <c r="W295"/>
  <c r="Y295" s="1"/>
  <c r="AE295" s="1"/>
  <c r="V295"/>
  <c r="W294"/>
  <c r="Y294" s="1"/>
  <c r="AE294" s="1"/>
  <c r="V294"/>
  <c r="W293"/>
  <c r="Y293" s="1"/>
  <c r="AE293" s="1"/>
  <c r="V293"/>
  <c r="W292"/>
  <c r="Y292" s="1"/>
  <c r="AE292" s="1"/>
  <c r="V292"/>
  <c r="W291"/>
  <c r="Y291" s="1"/>
  <c r="AE291" s="1"/>
  <c r="V291"/>
  <c r="W289"/>
  <c r="V289"/>
  <c r="V290" s="1"/>
  <c r="W287"/>
  <c r="Y287" s="1"/>
  <c r="V287"/>
  <c r="V288" s="1"/>
  <c r="W268"/>
  <c r="Y268" s="1"/>
  <c r="AE268" s="1"/>
  <c r="V268"/>
  <c r="W267"/>
  <c r="V267"/>
  <c r="W266"/>
  <c r="V266"/>
  <c r="W264"/>
  <c r="Y264" s="1"/>
  <c r="AE264" s="1"/>
  <c r="V264"/>
  <c r="W263"/>
  <c r="V263"/>
  <c r="W261"/>
  <c r="V261"/>
  <c r="V258"/>
  <c r="W258"/>
  <c r="Y258" s="1"/>
  <c r="AE258" s="1"/>
  <c r="V259"/>
  <c r="W259"/>
  <c r="Y259" s="1"/>
  <c r="AE259" s="1"/>
  <c r="W257"/>
  <c r="V257"/>
  <c r="V255"/>
  <c r="W255"/>
  <c r="W254"/>
  <c r="V254"/>
  <c r="V250"/>
  <c r="W250"/>
  <c r="Y250" s="1"/>
  <c r="AE250" s="1"/>
  <c r="V251"/>
  <c r="W251"/>
  <c r="Y251" s="1"/>
  <c r="AE251" s="1"/>
  <c r="V252"/>
  <c r="W252"/>
  <c r="Y252" s="1"/>
  <c r="AE252" s="1"/>
  <c r="W249"/>
  <c r="V249"/>
  <c r="V242"/>
  <c r="W242"/>
  <c r="Y242" s="1"/>
  <c r="AE242" s="1"/>
  <c r="V243"/>
  <c r="W243"/>
  <c r="Y243" s="1"/>
  <c r="AE243" s="1"/>
  <c r="V244"/>
  <c r="W244"/>
  <c r="Y244" s="1"/>
  <c r="AE244" s="1"/>
  <c r="V245"/>
  <c r="W245"/>
  <c r="Y245" s="1"/>
  <c r="AE245" s="1"/>
  <c r="V246"/>
  <c r="W246"/>
  <c r="Y246" s="1"/>
  <c r="AE246" s="1"/>
  <c r="V247"/>
  <c r="W247"/>
  <c r="Y247" s="1"/>
  <c r="AE247" s="1"/>
  <c r="W241"/>
  <c r="V241"/>
  <c r="W239"/>
  <c r="V239"/>
  <c r="W237"/>
  <c r="Y237" s="1"/>
  <c r="AE237" s="1"/>
  <c r="V237"/>
  <c r="W236"/>
  <c r="V236"/>
  <c r="W234"/>
  <c r="Y234" s="1"/>
  <c r="AE234" s="1"/>
  <c r="V234"/>
  <c r="W233"/>
  <c r="V233"/>
  <c r="W232"/>
  <c r="Y232" s="1"/>
  <c r="AE232" s="1"/>
  <c r="V232"/>
  <c r="W231"/>
  <c r="Y231" s="1"/>
  <c r="AE231" s="1"/>
  <c r="V231"/>
  <c r="W230"/>
  <c r="Y230" s="1"/>
  <c r="AE230" s="1"/>
  <c r="V230"/>
  <c r="W229"/>
  <c r="Y229" s="1"/>
  <c r="AE229" s="1"/>
  <c r="V229"/>
  <c r="V227"/>
  <c r="W227"/>
  <c r="W226"/>
  <c r="V226"/>
  <c r="W222"/>
  <c r="V222"/>
  <c r="V219"/>
  <c r="W219"/>
  <c r="Y219" s="1"/>
  <c r="AE219" s="1"/>
  <c r="V220"/>
  <c r="W220"/>
  <c r="Y220" s="1"/>
  <c r="AE220" s="1"/>
  <c r="W218"/>
  <c r="V218"/>
  <c r="W216"/>
  <c r="Y216" s="1"/>
  <c r="AE216" s="1"/>
  <c r="V216"/>
  <c r="W215"/>
  <c r="V215"/>
  <c r="W214"/>
  <c r="Y214" s="1"/>
  <c r="AE214" s="1"/>
  <c r="V214"/>
  <c r="V211"/>
  <c r="W211"/>
  <c r="Y211" s="1"/>
  <c r="AE211" s="1"/>
  <c r="V212"/>
  <c r="W212"/>
  <c r="Y212" s="1"/>
  <c r="AE212" s="1"/>
  <c r="W210"/>
  <c r="V210"/>
  <c r="V208"/>
  <c r="W208"/>
  <c r="Y208" s="1"/>
  <c r="AE208" s="1"/>
  <c r="W207"/>
  <c r="V207"/>
  <c r="W206"/>
  <c r="Y206" s="1"/>
  <c r="AE206" s="1"/>
  <c r="V206"/>
  <c r="V200"/>
  <c r="W200"/>
  <c r="Y200" s="1"/>
  <c r="AE200" s="1"/>
  <c r="V201"/>
  <c r="W201"/>
  <c r="Y201" s="1"/>
  <c r="AE201" s="1"/>
  <c r="V202"/>
  <c r="W202"/>
  <c r="Y202" s="1"/>
  <c r="AE202" s="1"/>
  <c r="V203"/>
  <c r="W203"/>
  <c r="Y203" s="1"/>
  <c r="AE203" s="1"/>
  <c r="V204"/>
  <c r="W204"/>
  <c r="Y204" s="1"/>
  <c r="AE204" s="1"/>
  <c r="W199"/>
  <c r="V199"/>
  <c r="W198"/>
  <c r="Y198" s="1"/>
  <c r="AE198" s="1"/>
  <c r="V198"/>
  <c r="W197"/>
  <c r="Y197" s="1"/>
  <c r="AE197" s="1"/>
  <c r="V197"/>
  <c r="W196"/>
  <c r="Y196" s="1"/>
  <c r="AE196" s="1"/>
  <c r="V196"/>
  <c r="V194"/>
  <c r="W194"/>
  <c r="Y194" s="1"/>
  <c r="AE194" s="1"/>
  <c r="W193"/>
  <c r="V193"/>
  <c r="W192"/>
  <c r="Y192" s="1"/>
  <c r="AE192" s="1"/>
  <c r="V192"/>
  <c r="V190"/>
  <c r="W190"/>
  <c r="Y190" s="1"/>
  <c r="AE190" s="1"/>
  <c r="W189"/>
  <c r="Y189" s="1"/>
  <c r="AE189" s="1"/>
  <c r="V189"/>
  <c r="W188"/>
  <c r="V188"/>
  <c r="W186"/>
  <c r="W187" s="1"/>
  <c r="V186"/>
  <c r="V187" s="1"/>
  <c r="V182"/>
  <c r="W182"/>
  <c r="Y182" s="1"/>
  <c r="AE182" s="1"/>
  <c r="V183"/>
  <c r="W183"/>
  <c r="Y183" s="1"/>
  <c r="AE183" s="1"/>
  <c r="W181"/>
  <c r="V181"/>
  <c r="W180"/>
  <c r="Y180" s="1"/>
  <c r="AE180" s="1"/>
  <c r="V180"/>
  <c r="V178"/>
  <c r="W178"/>
  <c r="Y178" s="1"/>
  <c r="AE178" s="1"/>
  <c r="W177"/>
  <c r="V177"/>
  <c r="W176"/>
  <c r="Y176" s="1"/>
  <c r="AE176" s="1"/>
  <c r="V176"/>
  <c r="W175"/>
  <c r="Y175" s="1"/>
  <c r="AE175" s="1"/>
  <c r="V175"/>
  <c r="V172"/>
  <c r="W172"/>
  <c r="Y172" s="1"/>
  <c r="AE172" s="1"/>
  <c r="V173"/>
  <c r="W173"/>
  <c r="Y173" s="1"/>
  <c r="AE173" s="1"/>
  <c r="W171"/>
  <c r="V171"/>
  <c r="W170"/>
  <c r="Y170" s="1"/>
  <c r="AE170" s="1"/>
  <c r="V170"/>
  <c r="W169"/>
  <c r="Y169" s="1"/>
  <c r="AE169" s="1"/>
  <c r="V169"/>
  <c r="V167"/>
  <c r="W167"/>
  <c r="Y167" s="1"/>
  <c r="AE167" s="1"/>
  <c r="W166"/>
  <c r="V166"/>
  <c r="W165"/>
  <c r="Y165" s="1"/>
  <c r="AE165" s="1"/>
  <c r="V165"/>
  <c r="V163"/>
  <c r="W163"/>
  <c r="Y163" s="1"/>
  <c r="AE163" s="1"/>
  <c r="W162"/>
  <c r="V162"/>
  <c r="W161"/>
  <c r="Y161" s="1"/>
  <c r="AE161" s="1"/>
  <c r="V161"/>
  <c r="W159"/>
  <c r="V159"/>
  <c r="W158"/>
  <c r="Y158" s="1"/>
  <c r="AE158" s="1"/>
  <c r="V158"/>
  <c r="V150"/>
  <c r="W150"/>
  <c r="Y150" s="1"/>
  <c r="AE150" s="1"/>
  <c r="V151"/>
  <c r="W151"/>
  <c r="Y151" s="1"/>
  <c r="AE151" s="1"/>
  <c r="V152"/>
  <c r="W152"/>
  <c r="Y152" s="1"/>
  <c r="AE152" s="1"/>
  <c r="V153"/>
  <c r="W153"/>
  <c r="Y153" s="1"/>
  <c r="AE153" s="1"/>
  <c r="V154"/>
  <c r="W154"/>
  <c r="Y154" s="1"/>
  <c r="AE154" s="1"/>
  <c r="V155"/>
  <c r="W155"/>
  <c r="Y155" s="1"/>
  <c r="AE155" s="1"/>
  <c r="W149"/>
  <c r="Y149" s="1"/>
  <c r="AE149" s="1"/>
  <c r="V149"/>
  <c r="W148"/>
  <c r="Y148" s="1"/>
  <c r="AE148" s="1"/>
  <c r="V148"/>
  <c r="W147"/>
  <c r="V147"/>
  <c r="V145"/>
  <c r="W145"/>
  <c r="Y145" s="1"/>
  <c r="AE145" s="1"/>
  <c r="W144"/>
  <c r="Y144" s="1"/>
  <c r="AE144" s="1"/>
  <c r="V144"/>
  <c r="W143"/>
  <c r="V143"/>
  <c r="W141"/>
  <c r="Y141" s="1"/>
  <c r="AE141" s="1"/>
  <c r="V141"/>
  <c r="W140"/>
  <c r="V140"/>
  <c r="V138"/>
  <c r="W138"/>
  <c r="Y138" s="1"/>
  <c r="AE138" s="1"/>
  <c r="W137"/>
  <c r="V137"/>
  <c r="W136"/>
  <c r="Y136" s="1"/>
  <c r="AE136" s="1"/>
  <c r="V136"/>
  <c r="V133"/>
  <c r="W133"/>
  <c r="Y133" s="1"/>
  <c r="AE133" s="1"/>
  <c r="W132"/>
  <c r="V132"/>
  <c r="W131"/>
  <c r="Y131" s="1"/>
  <c r="AE131" s="1"/>
  <c r="V131"/>
  <c r="W130"/>
  <c r="Y130" s="1"/>
  <c r="AE130" s="1"/>
  <c r="V130"/>
  <c r="W129"/>
  <c r="Y129" s="1"/>
  <c r="AE129" s="1"/>
  <c r="V129"/>
  <c r="W128"/>
  <c r="Y128" s="1"/>
  <c r="AE128" s="1"/>
  <c r="V128"/>
  <c r="W127"/>
  <c r="Y127" s="1"/>
  <c r="AE127" s="1"/>
  <c r="V127"/>
  <c r="W126"/>
  <c r="Y126" s="1"/>
  <c r="AE126" s="1"/>
  <c r="V126"/>
  <c r="V124"/>
  <c r="W124"/>
  <c r="Y124" s="1"/>
  <c r="AE124" s="1"/>
  <c r="W123"/>
  <c r="V123"/>
  <c r="V121"/>
  <c r="W121"/>
  <c r="Y121" s="1"/>
  <c r="AE121" s="1"/>
  <c r="W120"/>
  <c r="V120"/>
  <c r="W119"/>
  <c r="Y119" s="1"/>
  <c r="AE119" s="1"/>
  <c r="V119"/>
  <c r="W118"/>
  <c r="Y118" s="1"/>
  <c r="AE118" s="1"/>
  <c r="V118"/>
  <c r="V116"/>
  <c r="W116"/>
  <c r="Y116" s="1"/>
  <c r="AE116" s="1"/>
  <c r="W115"/>
  <c r="V115"/>
  <c r="V114"/>
  <c r="W112"/>
  <c r="Y112" s="1"/>
  <c r="AE112" s="1"/>
  <c r="V112"/>
  <c r="W111"/>
  <c r="V111"/>
  <c r="W109"/>
  <c r="Y109" s="1"/>
  <c r="AE109" s="1"/>
  <c r="V109"/>
  <c r="W108"/>
  <c r="V108"/>
  <c r="W106"/>
  <c r="Y106" s="1"/>
  <c r="AE106" s="1"/>
  <c r="V106"/>
  <c r="W105"/>
  <c r="V105"/>
  <c r="W103"/>
  <c r="Y103" s="1"/>
  <c r="AE103" s="1"/>
  <c r="V103"/>
  <c r="W102"/>
  <c r="V102"/>
  <c r="W100"/>
  <c r="Y100" s="1"/>
  <c r="AE100" s="1"/>
  <c r="V100"/>
  <c r="W99"/>
  <c r="V99"/>
  <c r="V97"/>
  <c r="W97"/>
  <c r="Y97" s="1"/>
  <c r="AE97" s="1"/>
  <c r="W96"/>
  <c r="V96"/>
  <c r="W95"/>
  <c r="Y95" s="1"/>
  <c r="AE95" s="1"/>
  <c r="V95"/>
  <c r="W94"/>
  <c r="Y94" s="1"/>
  <c r="AE94" s="1"/>
  <c r="V94"/>
  <c r="V92"/>
  <c r="X92" s="1"/>
  <c r="AD92" s="1"/>
  <c r="W92"/>
  <c r="Y92" s="1"/>
  <c r="AE92" s="1"/>
  <c r="W91"/>
  <c r="V91"/>
  <c r="W90"/>
  <c r="Y90" s="1"/>
  <c r="AE90" s="1"/>
  <c r="V90"/>
  <c r="W88"/>
  <c r="V88"/>
  <c r="W87"/>
  <c r="Y87" s="1"/>
  <c r="AE87" s="1"/>
  <c r="V87"/>
  <c r="W86"/>
  <c r="Y86" s="1"/>
  <c r="AE86" s="1"/>
  <c r="V86"/>
  <c r="V84"/>
  <c r="W84"/>
  <c r="Y84" s="1"/>
  <c r="W83"/>
  <c r="V83"/>
  <c r="V81"/>
  <c r="W81"/>
  <c r="Y81" s="1"/>
  <c r="AE81" s="1"/>
  <c r="W80"/>
  <c r="V80"/>
  <c r="V77"/>
  <c r="W77"/>
  <c r="Y77" s="1"/>
  <c r="AE77" s="1"/>
  <c r="V78"/>
  <c r="W78"/>
  <c r="Y78" s="1"/>
  <c r="AE78" s="1"/>
  <c r="W76"/>
  <c r="V76"/>
  <c r="V74"/>
  <c r="W74"/>
  <c r="Y74" s="1"/>
  <c r="W73"/>
  <c r="Y73" s="1"/>
  <c r="V73"/>
  <c r="W72"/>
  <c r="V72"/>
  <c r="W70"/>
  <c r="Y70" s="1"/>
  <c r="AE70" s="1"/>
  <c r="V70"/>
  <c r="W69"/>
  <c r="V69"/>
  <c r="W67"/>
  <c r="Y67" s="1"/>
  <c r="AE67" s="1"/>
  <c r="V67"/>
  <c r="W66"/>
  <c r="V66"/>
  <c r="V64"/>
  <c r="W64"/>
  <c r="Y64" s="1"/>
  <c r="AE64" s="1"/>
  <c r="W63"/>
  <c r="V63"/>
  <c r="V61"/>
  <c r="W61"/>
  <c r="Y61" s="1"/>
  <c r="W60"/>
  <c r="V60"/>
  <c r="V58"/>
  <c r="W58"/>
  <c r="Y58" s="1"/>
  <c r="AE58" s="1"/>
  <c r="W57"/>
  <c r="V57"/>
  <c r="V54"/>
  <c r="W54"/>
  <c r="Y54" s="1"/>
  <c r="AE54" s="1"/>
  <c r="W53"/>
  <c r="V53"/>
  <c r="V51"/>
  <c r="W51"/>
  <c r="Y51" s="1"/>
  <c r="AE51" s="1"/>
  <c r="W50"/>
  <c r="V50"/>
  <c r="W48"/>
  <c r="Y48" s="1"/>
  <c r="V48"/>
  <c r="W47"/>
  <c r="V47"/>
  <c r="W46"/>
  <c r="V46"/>
  <c r="V45"/>
  <c r="W45"/>
  <c r="Y45" s="1"/>
  <c r="AE45" s="1"/>
  <c r="W44"/>
  <c r="Y44" s="1"/>
  <c r="AE44" s="1"/>
  <c r="V44"/>
  <c r="V42"/>
  <c r="W42"/>
  <c r="Y42" s="1"/>
  <c r="AE42" s="1"/>
  <c r="W41"/>
  <c r="Y41" s="1"/>
  <c r="AE41" s="1"/>
  <c r="V41"/>
  <c r="W40"/>
  <c r="V40"/>
  <c r="W38"/>
  <c r="Y38" s="1"/>
  <c r="AE38" s="1"/>
  <c r="V38"/>
  <c r="W37"/>
  <c r="V37"/>
  <c r="V35"/>
  <c r="W35"/>
  <c r="Y35" s="1"/>
  <c r="AE35" s="1"/>
  <c r="W34"/>
  <c r="V34"/>
  <c r="V31"/>
  <c r="W31"/>
  <c r="Y31" s="1"/>
  <c r="V32"/>
  <c r="W32"/>
  <c r="Y32" s="1"/>
  <c r="W30"/>
  <c r="V30"/>
  <c r="V28"/>
  <c r="W28"/>
  <c r="Y28" s="1"/>
  <c r="AE28" s="1"/>
  <c r="W27"/>
  <c r="V27"/>
  <c r="W25"/>
  <c r="Y25" s="1"/>
  <c r="AE25" s="1"/>
  <c r="V25"/>
  <c r="V19"/>
  <c r="W19"/>
  <c r="Y19" s="1"/>
  <c r="AE19" s="1"/>
  <c r="V20"/>
  <c r="W20"/>
  <c r="Y20" s="1"/>
  <c r="AE20" s="1"/>
  <c r="V21"/>
  <c r="W21"/>
  <c r="Y21" s="1"/>
  <c r="AE21" s="1"/>
  <c r="V22"/>
  <c r="W22"/>
  <c r="Y22" s="1"/>
  <c r="AE22" s="1"/>
  <c r="V23"/>
  <c r="W23"/>
  <c r="Y23" s="1"/>
  <c r="AE23" s="1"/>
  <c r="W18"/>
  <c r="Y18" s="1"/>
  <c r="AE18" s="1"/>
  <c r="V18"/>
  <c r="W17"/>
  <c r="V17"/>
  <c r="W15"/>
  <c r="Y15" s="1"/>
  <c r="AE15" s="1"/>
  <c r="V15"/>
  <c r="W14"/>
  <c r="V14"/>
  <c r="W12"/>
  <c r="Y12" s="1"/>
  <c r="AE12" s="1"/>
  <c r="V12"/>
  <c r="W11"/>
  <c r="V11"/>
  <c r="W9"/>
  <c r="Y9" s="1"/>
  <c r="AE9" s="1"/>
  <c r="V9"/>
  <c r="W8"/>
  <c r="V8"/>
  <c r="W6"/>
  <c r="Y6" s="1"/>
  <c r="AE6" s="1"/>
  <c r="W5"/>
  <c r="V6"/>
  <c r="V5"/>
  <c r="W309"/>
  <c r="Y309" s="1"/>
  <c r="W307"/>
  <c r="W306"/>
  <c r="Y306" s="1"/>
  <c r="W305"/>
  <c r="Y305" s="1"/>
  <c r="W304"/>
  <c r="Y304" s="1"/>
  <c r="W303"/>
  <c r="Y303" s="1"/>
  <c r="W285"/>
  <c r="W284"/>
  <c r="Y284" s="1"/>
  <c r="W283"/>
  <c r="Y283" s="1"/>
  <c r="W282"/>
  <c r="Y282" s="1"/>
  <c r="W281"/>
  <c r="Y281" s="1"/>
  <c r="W280"/>
  <c r="Y280" s="1"/>
  <c r="W279"/>
  <c r="Y279" s="1"/>
  <c r="W278"/>
  <c r="Y278" s="1"/>
  <c r="W277"/>
  <c r="Y277" s="1"/>
  <c r="W276"/>
  <c r="Y276" s="1"/>
  <c r="W275"/>
  <c r="Y275" s="1"/>
  <c r="W274"/>
  <c r="Y274" s="1"/>
  <c r="W273"/>
  <c r="Y273" s="1"/>
  <c r="W270"/>
  <c r="Y270" s="1"/>
  <c r="W224"/>
  <c r="W225" s="1"/>
  <c r="W235" l="1"/>
  <c r="V235"/>
  <c r="BV279"/>
  <c r="BV282"/>
  <c r="BV277"/>
  <c r="BV275"/>
  <c r="BV281"/>
  <c r="BV273"/>
  <c r="BV284"/>
  <c r="BU225"/>
  <c r="BQ307"/>
  <c r="BU307" s="1"/>
  <c r="W82"/>
  <c r="V164"/>
  <c r="V179"/>
  <c r="W56"/>
  <c r="V39"/>
  <c r="V56"/>
  <c r="V68"/>
  <c r="V71"/>
  <c r="AV22"/>
  <c r="AV20"/>
  <c r="AV28"/>
  <c r="AV42"/>
  <c r="AN45"/>
  <c r="AV77"/>
  <c r="AV81"/>
  <c r="AV129"/>
  <c r="AV148"/>
  <c r="AV158"/>
  <c r="AV161"/>
  <c r="AV169"/>
  <c r="AV196"/>
  <c r="AV198"/>
  <c r="AV229"/>
  <c r="AV231"/>
  <c r="AV268"/>
  <c r="AV292"/>
  <c r="AV294"/>
  <c r="AV296"/>
  <c r="AV298"/>
  <c r="AV300"/>
  <c r="AV302"/>
  <c r="V101"/>
  <c r="W217"/>
  <c r="AV38"/>
  <c r="AV41"/>
  <c r="AN44"/>
  <c r="AV44"/>
  <c r="AV67"/>
  <c r="AV70"/>
  <c r="AV87"/>
  <c r="AV90"/>
  <c r="AU92"/>
  <c r="AV95"/>
  <c r="AV100"/>
  <c r="AV103"/>
  <c r="AV106"/>
  <c r="AV109"/>
  <c r="AV112"/>
  <c r="AV116"/>
  <c r="AV117" s="1"/>
  <c r="AV121"/>
  <c r="AV124"/>
  <c r="AV133"/>
  <c r="AV145"/>
  <c r="AV155"/>
  <c r="AV153"/>
  <c r="AV151"/>
  <c r="AV163"/>
  <c r="AV172"/>
  <c r="AV178"/>
  <c r="AV182"/>
  <c r="AV190"/>
  <c r="AV204"/>
  <c r="AV202"/>
  <c r="AV200"/>
  <c r="AV211"/>
  <c r="AV219"/>
  <c r="AV247"/>
  <c r="AV245"/>
  <c r="AV243"/>
  <c r="AV251"/>
  <c r="AV258"/>
  <c r="AV23"/>
  <c r="AV21"/>
  <c r="AV19"/>
  <c r="AV35"/>
  <c r="AV51"/>
  <c r="AV54"/>
  <c r="AV58"/>
  <c r="AV64"/>
  <c r="AV78"/>
  <c r="AV92"/>
  <c r="AV97"/>
  <c r="AV128"/>
  <c r="AV130"/>
  <c r="AV136"/>
  <c r="AV141"/>
  <c r="AV144"/>
  <c r="AV149"/>
  <c r="AV165"/>
  <c r="AV170"/>
  <c r="AV189"/>
  <c r="AV192"/>
  <c r="AV197"/>
  <c r="AV206"/>
  <c r="AV214"/>
  <c r="AV216"/>
  <c r="AV230"/>
  <c r="AV232"/>
  <c r="AV234"/>
  <c r="AV237"/>
  <c r="AV264"/>
  <c r="AV291"/>
  <c r="AV293"/>
  <c r="AV295"/>
  <c r="AV297"/>
  <c r="AV299"/>
  <c r="AV301"/>
  <c r="AV6"/>
  <c r="AV9"/>
  <c r="AV12"/>
  <c r="AV15"/>
  <c r="AV18"/>
  <c r="AV25"/>
  <c r="AV86"/>
  <c r="AV94"/>
  <c r="AV138"/>
  <c r="AV154"/>
  <c r="AV152"/>
  <c r="AV150"/>
  <c r="AV167"/>
  <c r="AV173"/>
  <c r="AV183"/>
  <c r="AV194"/>
  <c r="AV203"/>
  <c r="AV201"/>
  <c r="AV208"/>
  <c r="AV209" s="1"/>
  <c r="AV212"/>
  <c r="AV220"/>
  <c r="AV246"/>
  <c r="AV244"/>
  <c r="AV242"/>
  <c r="AV252"/>
  <c r="AV250"/>
  <c r="AV259"/>
  <c r="V205"/>
  <c r="V248"/>
  <c r="AN165"/>
  <c r="AN232"/>
  <c r="AN301"/>
  <c r="W36"/>
  <c r="W52"/>
  <c r="W59"/>
  <c r="W62"/>
  <c r="W65"/>
  <c r="W79"/>
  <c r="W93"/>
  <c r="AN161"/>
  <c r="AN231"/>
  <c r="V104"/>
  <c r="V107"/>
  <c r="V110"/>
  <c r="V113"/>
  <c r="W142"/>
  <c r="V139"/>
  <c r="V168"/>
  <c r="V174"/>
  <c r="V184"/>
  <c r="V195"/>
  <c r="V209"/>
  <c r="V213"/>
  <c r="V221"/>
  <c r="V228"/>
  <c r="V253"/>
  <c r="V256"/>
  <c r="W98"/>
  <c r="V134"/>
  <c r="V260"/>
  <c r="W39"/>
  <c r="W43"/>
  <c r="W68"/>
  <c r="W71"/>
  <c r="W75"/>
  <c r="W101"/>
  <c r="W104"/>
  <c r="W107"/>
  <c r="W110"/>
  <c r="W113"/>
  <c r="V156"/>
  <c r="V160"/>
  <c r="AJ119"/>
  <c r="AN119"/>
  <c r="AH119"/>
  <c r="AR114"/>
  <c r="V265"/>
  <c r="V117"/>
  <c r="V122"/>
  <c r="V125"/>
  <c r="AN259"/>
  <c r="V269"/>
  <c r="V271" s="1"/>
  <c r="AN9"/>
  <c r="AN15"/>
  <c r="AN86"/>
  <c r="AN94"/>
  <c r="AN138"/>
  <c r="AN154"/>
  <c r="AN152"/>
  <c r="AN150"/>
  <c r="AN167"/>
  <c r="AN173"/>
  <c r="AN183"/>
  <c r="AN194"/>
  <c r="AN203"/>
  <c r="AN201"/>
  <c r="AN208"/>
  <c r="AN212"/>
  <c r="AN220"/>
  <c r="AN246"/>
  <c r="AN244"/>
  <c r="AN242"/>
  <c r="AN252"/>
  <c r="AN250"/>
  <c r="Y307"/>
  <c r="Y308" s="1"/>
  <c r="W308"/>
  <c r="Y5"/>
  <c r="Y7" s="1"/>
  <c r="W7"/>
  <c r="AN22"/>
  <c r="AN20"/>
  <c r="AN28"/>
  <c r="AN42"/>
  <c r="AN77"/>
  <c r="AN81"/>
  <c r="AN127"/>
  <c r="AJ127"/>
  <c r="AH127"/>
  <c r="AN129"/>
  <c r="AN131"/>
  <c r="Y137"/>
  <c r="Y139" s="1"/>
  <c r="W139"/>
  <c r="AN148"/>
  <c r="AN158"/>
  <c r="AN169"/>
  <c r="AN176"/>
  <c r="Y188"/>
  <c r="Y191" s="1"/>
  <c r="W191"/>
  <c r="AN196"/>
  <c r="AN198"/>
  <c r="Y226"/>
  <c r="AE226" s="1"/>
  <c r="W228"/>
  <c r="AN229"/>
  <c r="Y233"/>
  <c r="Y235" s="1"/>
  <c r="Y236"/>
  <c r="Y238" s="1"/>
  <c r="W238"/>
  <c r="Y239"/>
  <c r="AE239" s="1"/>
  <c r="Y249"/>
  <c r="W253"/>
  <c r="Y254"/>
  <c r="W256"/>
  <c r="Y257"/>
  <c r="Y260" s="1"/>
  <c r="W260"/>
  <c r="Y263"/>
  <c r="Y265" s="1"/>
  <c r="W265"/>
  <c r="Y266"/>
  <c r="AE266" s="1"/>
  <c r="AN268"/>
  <c r="Y289"/>
  <c r="Y290" s="1"/>
  <c r="W290"/>
  <c r="AN292"/>
  <c r="AR292" s="1"/>
  <c r="AN294"/>
  <c r="AN296"/>
  <c r="AN298"/>
  <c r="AN300"/>
  <c r="V36"/>
  <c r="V43"/>
  <c r="V52"/>
  <c r="V59"/>
  <c r="V62"/>
  <c r="V65"/>
  <c r="V75"/>
  <c r="V79"/>
  <c r="V93"/>
  <c r="V98"/>
  <c r="W146"/>
  <c r="W168"/>
  <c r="W174"/>
  <c r="W184"/>
  <c r="W195"/>
  <c r="W209"/>
  <c r="W213"/>
  <c r="W221"/>
  <c r="AN258"/>
  <c r="V308"/>
  <c r="AN6"/>
  <c r="AH6"/>
  <c r="AN12"/>
  <c r="AN18"/>
  <c r="AN25"/>
  <c r="Y11"/>
  <c r="Y13" s="1"/>
  <c r="W13"/>
  <c r="Y14"/>
  <c r="Y16" s="1"/>
  <c r="W16"/>
  <c r="Y17"/>
  <c r="Y24" s="1"/>
  <c r="Y26" s="1"/>
  <c r="W24"/>
  <c r="W26" s="1"/>
  <c r="Y27"/>
  <c r="Y29" s="1"/>
  <c r="W29"/>
  <c r="Y30"/>
  <c r="Y33" s="1"/>
  <c r="W33"/>
  <c r="AN38"/>
  <c r="AN41"/>
  <c r="Y46"/>
  <c r="AE46" s="1"/>
  <c r="W49"/>
  <c r="AN67"/>
  <c r="AN70"/>
  <c r="Y83"/>
  <c r="Y85" s="1"/>
  <c r="W85"/>
  <c r="AN87"/>
  <c r="AN90"/>
  <c r="AI92"/>
  <c r="AM92"/>
  <c r="AG92"/>
  <c r="AC92"/>
  <c r="AJ95"/>
  <c r="AN95"/>
  <c r="AH95"/>
  <c r="AN100"/>
  <c r="AN103"/>
  <c r="AN106"/>
  <c r="AN109"/>
  <c r="AN112"/>
  <c r="AN116"/>
  <c r="AN121"/>
  <c r="AN124"/>
  <c r="AN133"/>
  <c r="AN145"/>
  <c r="AN155"/>
  <c r="AN153"/>
  <c r="AN151"/>
  <c r="AN163"/>
  <c r="AN172"/>
  <c r="AN178"/>
  <c r="AN182"/>
  <c r="AN190"/>
  <c r="AN204"/>
  <c r="AN202"/>
  <c r="AN200"/>
  <c r="AN211"/>
  <c r="AN219"/>
  <c r="AN247"/>
  <c r="AN245"/>
  <c r="AN243"/>
  <c r="AN251"/>
  <c r="AN23"/>
  <c r="AN21"/>
  <c r="AN19"/>
  <c r="AN35"/>
  <c r="AN51"/>
  <c r="AN54"/>
  <c r="AN58"/>
  <c r="AN64"/>
  <c r="AN78"/>
  <c r="AN92"/>
  <c r="AN97"/>
  <c r="AN118"/>
  <c r="AN126"/>
  <c r="AN128"/>
  <c r="AN130"/>
  <c r="AN136"/>
  <c r="AN141"/>
  <c r="AN144"/>
  <c r="Y147"/>
  <c r="Y156" s="1"/>
  <c r="W156"/>
  <c r="AN149"/>
  <c r="Y159"/>
  <c r="Y160" s="1"/>
  <c r="W160"/>
  <c r="AN170"/>
  <c r="AN175"/>
  <c r="AN180"/>
  <c r="AN189"/>
  <c r="AN192"/>
  <c r="AN197"/>
  <c r="Y199"/>
  <c r="W205"/>
  <c r="AN206"/>
  <c r="AN214"/>
  <c r="AN216"/>
  <c r="Y222"/>
  <c r="AE222" s="1"/>
  <c r="AN230"/>
  <c r="AN234"/>
  <c r="AN237"/>
  <c r="AN264"/>
  <c r="AN291"/>
  <c r="AN293"/>
  <c r="AN295"/>
  <c r="AN297"/>
  <c r="AN299"/>
  <c r="W10"/>
  <c r="V142"/>
  <c r="V146"/>
  <c r="V191"/>
  <c r="V217"/>
  <c r="V238"/>
  <c r="V7"/>
  <c r="V10"/>
  <c r="V13"/>
  <c r="V16"/>
  <c r="V24"/>
  <c r="V26" s="1"/>
  <c r="V29"/>
  <c r="V33"/>
  <c r="V49"/>
  <c r="V82"/>
  <c r="V85"/>
  <c r="W117"/>
  <c r="W122"/>
  <c r="W125"/>
  <c r="W134"/>
  <c r="W164"/>
  <c r="W179"/>
  <c r="W248"/>
  <c r="W262" s="1"/>
  <c r="W269"/>
  <c r="W271" s="1"/>
  <c r="Y285"/>
  <c r="W286"/>
  <c r="W288" s="1"/>
  <c r="AF310"/>
  <c r="AH21"/>
  <c r="AJ21"/>
  <c r="AH106"/>
  <c r="AJ106"/>
  <c r="AH20"/>
  <c r="AJ20"/>
  <c r="AH45"/>
  <c r="AJ45"/>
  <c r="AH131"/>
  <c r="AJ131"/>
  <c r="AH148"/>
  <c r="AJ148"/>
  <c r="AH170"/>
  <c r="AJ170"/>
  <c r="AH216"/>
  <c r="AJ216"/>
  <c r="AH234"/>
  <c r="AJ234"/>
  <c r="AH293"/>
  <c r="AJ293"/>
  <c r="AH299"/>
  <c r="AH247"/>
  <c r="AJ247"/>
  <c r="AJ6"/>
  <c r="AH15"/>
  <c r="AJ15"/>
  <c r="AH150"/>
  <c r="AJ150"/>
  <c r="AH163"/>
  <c r="AJ163"/>
  <c r="AH178"/>
  <c r="AJ178"/>
  <c r="AH202"/>
  <c r="AJ202"/>
  <c r="AH245"/>
  <c r="AJ245"/>
  <c r="AH251"/>
  <c r="AJ251"/>
  <c r="AH258"/>
  <c r="AJ258"/>
  <c r="AH138"/>
  <c r="AJ138"/>
  <c r="AH204"/>
  <c r="AJ204"/>
  <c r="AH35"/>
  <c r="AJ35"/>
  <c r="AH169"/>
  <c r="AJ169"/>
  <c r="AH67"/>
  <c r="AJ67"/>
  <c r="AH151"/>
  <c r="AJ151"/>
  <c r="AH54"/>
  <c r="AJ54"/>
  <c r="AH78"/>
  <c r="AJ78"/>
  <c r="AH92"/>
  <c r="AJ92"/>
  <c r="AH118"/>
  <c r="AJ118"/>
  <c r="AH126"/>
  <c r="AJ126"/>
  <c r="AH141"/>
  <c r="AJ141"/>
  <c r="AH149"/>
  <c r="AJ149"/>
  <c r="AH196"/>
  <c r="AJ196"/>
  <c r="AH229"/>
  <c r="AJ229"/>
  <c r="AH268"/>
  <c r="AJ268"/>
  <c r="AH294"/>
  <c r="AJ294"/>
  <c r="AH300"/>
  <c r="AJ300"/>
  <c r="AH44"/>
  <c r="AJ44"/>
  <c r="AH116"/>
  <c r="AJ116"/>
  <c r="AH259"/>
  <c r="AJ259"/>
  <c r="AH19"/>
  <c r="AJ19"/>
  <c r="AH38"/>
  <c r="AJ38"/>
  <c r="AH70"/>
  <c r="AJ70"/>
  <c r="AH100"/>
  <c r="AJ100"/>
  <c r="AH109"/>
  <c r="AJ109"/>
  <c r="AH133"/>
  <c r="AJ133"/>
  <c r="AH155"/>
  <c r="AJ155"/>
  <c r="AH173"/>
  <c r="AJ173"/>
  <c r="AH201"/>
  <c r="AJ201"/>
  <c r="AH212"/>
  <c r="AJ212"/>
  <c r="AH220"/>
  <c r="AJ220"/>
  <c r="AH244"/>
  <c r="AJ244"/>
  <c r="AH250"/>
  <c r="AJ250"/>
  <c r="AH51"/>
  <c r="AJ51"/>
  <c r="AH246"/>
  <c r="AJ246"/>
  <c r="AH77"/>
  <c r="AJ77"/>
  <c r="AH165"/>
  <c r="AJ165"/>
  <c r="AH189"/>
  <c r="AJ189"/>
  <c r="AH197"/>
  <c r="AJ197"/>
  <c r="AH230"/>
  <c r="AJ230"/>
  <c r="AH237"/>
  <c r="AJ237"/>
  <c r="AH295"/>
  <c r="AJ295"/>
  <c r="AH301"/>
  <c r="AH182"/>
  <c r="AJ182"/>
  <c r="AH130"/>
  <c r="AJ130"/>
  <c r="AH203"/>
  <c r="AJ203"/>
  <c r="AH9"/>
  <c r="AJ9"/>
  <c r="AH18"/>
  <c r="AJ18"/>
  <c r="AH25"/>
  <c r="AJ25"/>
  <c r="AH86"/>
  <c r="AJ86"/>
  <c r="AH94"/>
  <c r="AJ94"/>
  <c r="AH154"/>
  <c r="AJ154"/>
  <c r="AH172"/>
  <c r="AJ172"/>
  <c r="AH190"/>
  <c r="AJ190"/>
  <c r="AH200"/>
  <c r="AJ200"/>
  <c r="AH211"/>
  <c r="AJ211"/>
  <c r="AH219"/>
  <c r="AJ219"/>
  <c r="AH243"/>
  <c r="AJ243"/>
  <c r="AH12"/>
  <c r="AJ12"/>
  <c r="AH161"/>
  <c r="AJ161"/>
  <c r="AH298"/>
  <c r="AH208"/>
  <c r="AJ208"/>
  <c r="AH23"/>
  <c r="AJ23"/>
  <c r="AH58"/>
  <c r="AJ58"/>
  <c r="AH64"/>
  <c r="AJ64"/>
  <c r="AH128"/>
  <c r="AJ128"/>
  <c r="AH136"/>
  <c r="AJ136"/>
  <c r="AH144"/>
  <c r="AJ144"/>
  <c r="AH158"/>
  <c r="AJ158"/>
  <c r="AH231"/>
  <c r="AJ231"/>
  <c r="AH296"/>
  <c r="AJ296"/>
  <c r="AH302"/>
  <c r="AH90"/>
  <c r="AJ90"/>
  <c r="AH41"/>
  <c r="AJ41"/>
  <c r="AH87"/>
  <c r="AJ87"/>
  <c r="AH103"/>
  <c r="AJ103"/>
  <c r="AH112"/>
  <c r="AJ112"/>
  <c r="AH121"/>
  <c r="AJ121"/>
  <c r="AH145"/>
  <c r="AJ145"/>
  <c r="AH153"/>
  <c r="AJ153"/>
  <c r="AH167"/>
  <c r="AJ167"/>
  <c r="AH183"/>
  <c r="AJ183"/>
  <c r="AH242"/>
  <c r="AJ242"/>
  <c r="AH152"/>
  <c r="AJ152"/>
  <c r="AH97"/>
  <c r="AJ97"/>
  <c r="AH176"/>
  <c r="AJ176"/>
  <c r="AH124"/>
  <c r="AJ124"/>
  <c r="AH194"/>
  <c r="AJ194"/>
  <c r="AH252"/>
  <c r="AJ252"/>
  <c r="AH22"/>
  <c r="AJ22"/>
  <c r="AH28"/>
  <c r="AJ28"/>
  <c r="AH42"/>
  <c r="AJ42"/>
  <c r="AH81"/>
  <c r="AJ81"/>
  <c r="AH129"/>
  <c r="AJ129"/>
  <c r="AH175"/>
  <c r="AJ175"/>
  <c r="AH192"/>
  <c r="AJ192"/>
  <c r="AH206"/>
  <c r="AJ206"/>
  <c r="AH214"/>
  <c r="AJ214"/>
  <c r="AH232"/>
  <c r="AJ232"/>
  <c r="AH291"/>
  <c r="AJ291"/>
  <c r="AH297"/>
  <c r="AJ297"/>
  <c r="Y80"/>
  <c r="Y272"/>
  <c r="Y8"/>
  <c r="Y10" s="1"/>
  <c r="AE188"/>
  <c r="AE308"/>
  <c r="Y186"/>
  <c r="Y162"/>
  <c r="Y164" s="1"/>
  <c r="Y143"/>
  <c r="Y146" s="1"/>
  <c r="Y177"/>
  <c r="Y179" s="1"/>
  <c r="Y140"/>
  <c r="Y142" s="1"/>
  <c r="Y267"/>
  <c r="Y269" s="1"/>
  <c r="Y261"/>
  <c r="Y255"/>
  <c r="AE255" s="1"/>
  <c r="Y241"/>
  <c r="Y248" s="1"/>
  <c r="Y227"/>
  <c r="AE227" s="1"/>
  <c r="Y224"/>
  <c r="Y225" s="1"/>
  <c r="Y218"/>
  <c r="Y221" s="1"/>
  <c r="Y215"/>
  <c r="Y217" s="1"/>
  <c r="Y210"/>
  <c r="Y213" s="1"/>
  <c r="Y207"/>
  <c r="Y209" s="1"/>
  <c r="Y193"/>
  <c r="Y195" s="1"/>
  <c r="Y181"/>
  <c r="Y184" s="1"/>
  <c r="Y171"/>
  <c r="Y174" s="1"/>
  <c r="Y166"/>
  <c r="Y132"/>
  <c r="Y134" s="1"/>
  <c r="Y123"/>
  <c r="Y125" s="1"/>
  <c r="Y120"/>
  <c r="Y122" s="1"/>
  <c r="Y115"/>
  <c r="Y117" s="1"/>
  <c r="Y111"/>
  <c r="Y113" s="1"/>
  <c r="Y108"/>
  <c r="Y110" s="1"/>
  <c r="Y105"/>
  <c r="Y107" s="1"/>
  <c r="Y102"/>
  <c r="Y104" s="1"/>
  <c r="Y99"/>
  <c r="Y101" s="1"/>
  <c r="Y96"/>
  <c r="Y98" s="1"/>
  <c r="Y91"/>
  <c r="Y93" s="1"/>
  <c r="Y88"/>
  <c r="Y76"/>
  <c r="Y79" s="1"/>
  <c r="Y72"/>
  <c r="Y75" s="1"/>
  <c r="Y69"/>
  <c r="Y71" s="1"/>
  <c r="Y66"/>
  <c r="Y68" s="1"/>
  <c r="Y63"/>
  <c r="Y65" s="1"/>
  <c r="Y60"/>
  <c r="Y62" s="1"/>
  <c r="Y57"/>
  <c r="Y53"/>
  <c r="Y56" s="1"/>
  <c r="Y50"/>
  <c r="Y52" s="1"/>
  <c r="Y47"/>
  <c r="Y40"/>
  <c r="Y43" s="1"/>
  <c r="Y37"/>
  <c r="Y39" s="1"/>
  <c r="Y34"/>
  <c r="Y36" s="1"/>
  <c r="AE270"/>
  <c r="AZ292" l="1"/>
  <c r="BM292" s="1"/>
  <c r="AR302"/>
  <c r="AH308"/>
  <c r="AN308"/>
  <c r="AV308"/>
  <c r="AJ308"/>
  <c r="AE236"/>
  <c r="AV236" s="1"/>
  <c r="AV238" s="1"/>
  <c r="AE257"/>
  <c r="AN257" s="1"/>
  <c r="AE14"/>
  <c r="AV14" s="1"/>
  <c r="AV16" s="1"/>
  <c r="AE27"/>
  <c r="AV27" s="1"/>
  <c r="AV29" s="1"/>
  <c r="AE289"/>
  <c r="AV289" s="1"/>
  <c r="AV290" s="1"/>
  <c r="AR161"/>
  <c r="AZ161" s="1"/>
  <c r="BM161" s="1"/>
  <c r="BE292"/>
  <c r="AZ302"/>
  <c r="BM302" s="1"/>
  <c r="AZ114"/>
  <c r="BM114" s="1"/>
  <c r="AR231"/>
  <c r="AZ231" s="1"/>
  <c r="BM231" s="1"/>
  <c r="AV227"/>
  <c r="AE29"/>
  <c r="AV266"/>
  <c r="AV188"/>
  <c r="AV191" s="1"/>
  <c r="AV270"/>
  <c r="AV226"/>
  <c r="AV205"/>
  <c r="AV255"/>
  <c r="AV46"/>
  <c r="AV49" s="1"/>
  <c r="AV222"/>
  <c r="AV239"/>
  <c r="V262"/>
  <c r="V185"/>
  <c r="V223"/>
  <c r="V240"/>
  <c r="W240"/>
  <c r="AR216"/>
  <c r="Y205"/>
  <c r="AE199"/>
  <c r="AE205" s="1"/>
  <c r="AQ92"/>
  <c r="AR297"/>
  <c r="AR291"/>
  <c r="AZ291" s="1"/>
  <c r="BM291" s="1"/>
  <c r="AR234"/>
  <c r="AZ234" s="1"/>
  <c r="BM234" s="1"/>
  <c r="AR136"/>
  <c r="AR126"/>
  <c r="AZ126" s="1"/>
  <c r="BM126" s="1"/>
  <c r="AR92"/>
  <c r="AZ92" s="1"/>
  <c r="BM92" s="1"/>
  <c r="AR51"/>
  <c r="AZ51" s="1"/>
  <c r="BM51" s="1"/>
  <c r="AR19"/>
  <c r="AR247"/>
  <c r="AR200"/>
  <c r="AZ200" s="1"/>
  <c r="BM200" s="1"/>
  <c r="AR190"/>
  <c r="AZ190" s="1"/>
  <c r="BM190" s="1"/>
  <c r="AR163"/>
  <c r="AZ163" s="1"/>
  <c r="BM163" s="1"/>
  <c r="AR155"/>
  <c r="AR124"/>
  <c r="AZ124" s="1"/>
  <c r="BM124" s="1"/>
  <c r="AR106"/>
  <c r="AZ106" s="1"/>
  <c r="BM106" s="1"/>
  <c r="AR95"/>
  <c r="W89"/>
  <c r="AR67"/>
  <c r="AZ67" s="1"/>
  <c r="BM67" s="1"/>
  <c r="AR41"/>
  <c r="AR258"/>
  <c r="AZ258" s="1"/>
  <c r="BM258" s="1"/>
  <c r="V135"/>
  <c r="AR300"/>
  <c r="AZ300" s="1"/>
  <c r="BM300" s="1"/>
  <c r="AR294"/>
  <c r="AR158"/>
  <c r="AZ158" s="1"/>
  <c r="BM158" s="1"/>
  <c r="AR131"/>
  <c r="AZ131" s="1"/>
  <c r="BM131" s="1"/>
  <c r="AR77"/>
  <c r="AZ77" s="1"/>
  <c r="BM77" s="1"/>
  <c r="AR42"/>
  <c r="AZ42" s="1"/>
  <c r="BM42" s="1"/>
  <c r="AR20"/>
  <c r="AR244"/>
  <c r="AR212"/>
  <c r="AZ212" s="1"/>
  <c r="BM212" s="1"/>
  <c r="AR194"/>
  <c r="AZ194" s="1"/>
  <c r="BM194" s="1"/>
  <c r="AR150"/>
  <c r="AR94"/>
  <c r="AR70"/>
  <c r="AZ70" s="1"/>
  <c r="BM70" s="1"/>
  <c r="AR299"/>
  <c r="AZ299" s="1"/>
  <c r="BM299" s="1"/>
  <c r="AR293"/>
  <c r="AZ293" s="1"/>
  <c r="BM293" s="1"/>
  <c r="AR237"/>
  <c r="AR189"/>
  <c r="AZ189" s="1"/>
  <c r="BM189" s="1"/>
  <c r="AR170"/>
  <c r="AZ170" s="1"/>
  <c r="BM170" s="1"/>
  <c r="AR128"/>
  <c r="AR78"/>
  <c r="AZ78" s="1"/>
  <c r="BM78" s="1"/>
  <c r="AR54"/>
  <c r="AZ54" s="1"/>
  <c r="BM54" s="1"/>
  <c r="AR23"/>
  <c r="AZ23" s="1"/>
  <c r="BM23" s="1"/>
  <c r="AR245"/>
  <c r="AZ245" s="1"/>
  <c r="BM245" s="1"/>
  <c r="AR211"/>
  <c r="AR204"/>
  <c r="AZ204" s="1"/>
  <c r="BM204" s="1"/>
  <c r="AR172"/>
  <c r="AZ172" s="1"/>
  <c r="BM172" s="1"/>
  <c r="AR153"/>
  <c r="AZ153" s="1"/>
  <c r="BM153" s="1"/>
  <c r="AR133"/>
  <c r="AZ133" s="1"/>
  <c r="BM133" s="1"/>
  <c r="AR116"/>
  <c r="AZ116" s="1"/>
  <c r="BM116" s="1"/>
  <c r="AR87"/>
  <c r="AR12"/>
  <c r="AR296"/>
  <c r="AR169"/>
  <c r="AZ169" s="1"/>
  <c r="BM169" s="1"/>
  <c r="AR81"/>
  <c r="AZ81" s="1"/>
  <c r="BM81" s="1"/>
  <c r="AR28"/>
  <c r="AZ28" s="1"/>
  <c r="BM28" s="1"/>
  <c r="AR250"/>
  <c r="AZ250" s="1"/>
  <c r="BM250" s="1"/>
  <c r="AR220"/>
  <c r="AZ220" s="1"/>
  <c r="BM220" s="1"/>
  <c r="AR203"/>
  <c r="AZ203" s="1"/>
  <c r="BM203" s="1"/>
  <c r="AR167"/>
  <c r="AZ167" s="1"/>
  <c r="BM167" s="1"/>
  <c r="AR138"/>
  <c r="AR15"/>
  <c r="AZ15" s="1"/>
  <c r="BM15" s="1"/>
  <c r="AR165"/>
  <c r="AZ165" s="1"/>
  <c r="BM165" s="1"/>
  <c r="AR264"/>
  <c r="AZ264" s="1"/>
  <c r="BM264" s="1"/>
  <c r="AR90"/>
  <c r="AZ90" s="1"/>
  <c r="BM90" s="1"/>
  <c r="AR18"/>
  <c r="AZ18" s="1"/>
  <c r="BM18" s="1"/>
  <c r="AR201"/>
  <c r="AR173"/>
  <c r="AZ173" s="1"/>
  <c r="BM173" s="1"/>
  <c r="AR206"/>
  <c r="AZ206" s="1"/>
  <c r="BM206" s="1"/>
  <c r="AR192"/>
  <c r="AZ192" s="1"/>
  <c r="BM192" s="1"/>
  <c r="AR175"/>
  <c r="AR149"/>
  <c r="AZ149" s="1"/>
  <c r="BM149" s="1"/>
  <c r="AR141"/>
  <c r="AR97"/>
  <c r="AZ97" s="1"/>
  <c r="BM97" s="1"/>
  <c r="AR64"/>
  <c r="AZ64" s="1"/>
  <c r="BM64" s="1"/>
  <c r="AR21"/>
  <c r="AR243"/>
  <c r="AR219"/>
  <c r="AZ219" s="1"/>
  <c r="BM219" s="1"/>
  <c r="AR178"/>
  <c r="AR151"/>
  <c r="AZ151" s="1"/>
  <c r="BM151" s="1"/>
  <c r="AR121"/>
  <c r="AZ121" s="1"/>
  <c r="BM121" s="1"/>
  <c r="AR109"/>
  <c r="AZ109" s="1"/>
  <c r="BM109" s="1"/>
  <c r="AR100"/>
  <c r="AR38"/>
  <c r="AR298"/>
  <c r="AZ298" s="1"/>
  <c r="BM298" s="1"/>
  <c r="AR229"/>
  <c r="AZ229" s="1"/>
  <c r="BM229" s="1"/>
  <c r="AR196"/>
  <c r="AZ196" s="1"/>
  <c r="BM196" s="1"/>
  <c r="AR176"/>
  <c r="AZ176" s="1"/>
  <c r="BM176" s="1"/>
  <c r="AR22"/>
  <c r="AR242"/>
  <c r="AZ242" s="1"/>
  <c r="BM242" s="1"/>
  <c r="AR154"/>
  <c r="AZ154" s="1"/>
  <c r="BM154" s="1"/>
  <c r="AR86"/>
  <c r="AR232"/>
  <c r="AR180"/>
  <c r="AZ180" s="1"/>
  <c r="BM180" s="1"/>
  <c r="AR6"/>
  <c r="AZ6" s="1"/>
  <c r="AN239"/>
  <c r="AH239"/>
  <c r="AJ239"/>
  <c r="AR198"/>
  <c r="AZ198" s="1"/>
  <c r="BM198" s="1"/>
  <c r="AR127"/>
  <c r="AZ127" s="1"/>
  <c r="BM127" s="1"/>
  <c r="AR259"/>
  <c r="V89"/>
  <c r="AR295"/>
  <c r="AZ295" s="1"/>
  <c r="BM295" s="1"/>
  <c r="AR230"/>
  <c r="AR214"/>
  <c r="AR197"/>
  <c r="AZ197" s="1"/>
  <c r="BM197" s="1"/>
  <c r="AR144"/>
  <c r="AZ144" s="1"/>
  <c r="BM144" s="1"/>
  <c r="AR130"/>
  <c r="AZ130" s="1"/>
  <c r="BM130" s="1"/>
  <c r="AR118"/>
  <c r="AR58"/>
  <c r="AZ58" s="1"/>
  <c r="BM58" s="1"/>
  <c r="AR35"/>
  <c r="AZ35" s="1"/>
  <c r="BM35" s="1"/>
  <c r="AR251"/>
  <c r="AR202"/>
  <c r="AR182"/>
  <c r="AZ182" s="1"/>
  <c r="BM182" s="1"/>
  <c r="AR145"/>
  <c r="AR112"/>
  <c r="AR103"/>
  <c r="AZ103" s="1"/>
  <c r="BM103" s="1"/>
  <c r="AR25"/>
  <c r="AZ25" s="1"/>
  <c r="BM25" s="1"/>
  <c r="W223"/>
  <c r="AR268"/>
  <c r="AZ268" s="1"/>
  <c r="BM268" s="1"/>
  <c r="Y256"/>
  <c r="AR148"/>
  <c r="AZ148" s="1"/>
  <c r="BM148" s="1"/>
  <c r="AR129"/>
  <c r="AR252"/>
  <c r="AZ252" s="1"/>
  <c r="BM252" s="1"/>
  <c r="AR246"/>
  <c r="AR208"/>
  <c r="AZ208" s="1"/>
  <c r="BM208" s="1"/>
  <c r="AR183"/>
  <c r="AZ183" s="1"/>
  <c r="BM183" s="1"/>
  <c r="AR152"/>
  <c r="AZ152" s="1"/>
  <c r="BM152" s="1"/>
  <c r="AR9"/>
  <c r="AR301"/>
  <c r="AZ301" s="1"/>
  <c r="BM301" s="1"/>
  <c r="AR44"/>
  <c r="AZ44" s="1"/>
  <c r="BM44" s="1"/>
  <c r="AR45"/>
  <c r="AZ45" s="1"/>
  <c r="BM45" s="1"/>
  <c r="AR119"/>
  <c r="AJ286"/>
  <c r="AJ288" s="1"/>
  <c r="AE57"/>
  <c r="Y59"/>
  <c r="AN226"/>
  <c r="AN46"/>
  <c r="AJ257"/>
  <c r="AJ260" s="1"/>
  <c r="AE166"/>
  <c r="Y168"/>
  <c r="Y185" s="1"/>
  <c r="AN222"/>
  <c r="AN255"/>
  <c r="AJ27"/>
  <c r="AJ29" s="1"/>
  <c r="AN27"/>
  <c r="AN266"/>
  <c r="AJ188"/>
  <c r="AJ191" s="1"/>
  <c r="AN188"/>
  <c r="AE80"/>
  <c r="AH80" s="1"/>
  <c r="AH82" s="1"/>
  <c r="Y82"/>
  <c r="AE249"/>
  <c r="Y253"/>
  <c r="AE83"/>
  <c r="AE85" s="1"/>
  <c r="AE11"/>
  <c r="AE13" s="1"/>
  <c r="AE147"/>
  <c r="AE156" s="1"/>
  <c r="Y135"/>
  <c r="AE8"/>
  <c r="AE137"/>
  <c r="Y49"/>
  <c r="Y271"/>
  <c r="AN227"/>
  <c r="AN270"/>
  <c r="AE186"/>
  <c r="Y187"/>
  <c r="AN209"/>
  <c r="Y228"/>
  <c r="Y240" s="1"/>
  <c r="AE30"/>
  <c r="AE33" s="1"/>
  <c r="AE5"/>
  <c r="AE7" s="1"/>
  <c r="AE254"/>
  <c r="AE256" s="1"/>
  <c r="AE17"/>
  <c r="AE233"/>
  <c r="AE235" s="1"/>
  <c r="AE263"/>
  <c r="AE159"/>
  <c r="Y286"/>
  <c r="Y288" s="1"/>
  <c r="W135"/>
  <c r="W185"/>
  <c r="AH266"/>
  <c r="AJ266"/>
  <c r="AH227"/>
  <c r="AJ227"/>
  <c r="AH226"/>
  <c r="AJ226"/>
  <c r="AH46"/>
  <c r="AJ46"/>
  <c r="AH270"/>
  <c r="AJ270"/>
  <c r="AJ253"/>
  <c r="AH222"/>
  <c r="AJ222"/>
  <c r="AH255"/>
  <c r="AJ255"/>
  <c r="AH27"/>
  <c r="AH29" s="1"/>
  <c r="AH253"/>
  <c r="AE286"/>
  <c r="AH286"/>
  <c r="AH288" s="1"/>
  <c r="AE260"/>
  <c r="AH257"/>
  <c r="AH260" s="1"/>
  <c r="AE191"/>
  <c r="AH188"/>
  <c r="AH191" s="1"/>
  <c r="AE50"/>
  <c r="AE76"/>
  <c r="AE132"/>
  <c r="AE108"/>
  <c r="AJ187"/>
  <c r="AE40"/>
  <c r="AE69"/>
  <c r="AE91"/>
  <c r="AE105"/>
  <c r="AE120"/>
  <c r="AE171"/>
  <c r="AE210"/>
  <c r="AE267"/>
  <c r="AE140"/>
  <c r="AE162"/>
  <c r="AE49"/>
  <c r="AE228"/>
  <c r="AE34"/>
  <c r="AE63"/>
  <c r="AE99"/>
  <c r="AE111"/>
  <c r="AE193"/>
  <c r="AE218"/>
  <c r="AE60"/>
  <c r="AE62" s="1"/>
  <c r="AE72"/>
  <c r="AE75" s="1"/>
  <c r="AE96"/>
  <c r="AE123"/>
  <c r="AE181"/>
  <c r="AE215"/>
  <c r="AE241"/>
  <c r="AE177"/>
  <c r="AE37"/>
  <c r="AE53"/>
  <c r="AE66"/>
  <c r="AE102"/>
  <c r="AE115"/>
  <c r="AJ168"/>
  <c r="AJ209"/>
  <c r="AE261"/>
  <c r="AE143"/>
  <c r="BR45" l="1"/>
  <c r="BR44"/>
  <c r="AV257"/>
  <c r="AV260" s="1"/>
  <c r="BR152"/>
  <c r="BR252"/>
  <c r="BR268"/>
  <c r="BR130"/>
  <c r="BR127"/>
  <c r="BR176"/>
  <c r="BR151"/>
  <c r="BR149"/>
  <c r="BR173"/>
  <c r="BR264"/>
  <c r="BR167"/>
  <c r="BR28"/>
  <c r="BV28" s="1"/>
  <c r="BR153"/>
  <c r="BR245"/>
  <c r="BR293"/>
  <c r="BR158"/>
  <c r="BR258"/>
  <c r="BR163"/>
  <c r="BR292"/>
  <c r="BR103"/>
  <c r="BR298"/>
  <c r="BR121"/>
  <c r="BR206"/>
  <c r="BR90"/>
  <c r="BR250"/>
  <c r="BR133"/>
  <c r="BR131"/>
  <c r="BR126"/>
  <c r="BR302"/>
  <c r="BR301"/>
  <c r="BR148"/>
  <c r="BR182"/>
  <c r="BR58"/>
  <c r="BR197"/>
  <c r="BR180"/>
  <c r="BR242"/>
  <c r="BR229"/>
  <c r="BR109"/>
  <c r="BR219"/>
  <c r="BR97"/>
  <c r="BV97" s="1"/>
  <c r="BR192"/>
  <c r="BR18"/>
  <c r="BR15"/>
  <c r="BV15" s="1"/>
  <c r="BR220"/>
  <c r="BR169"/>
  <c r="BR116"/>
  <c r="BR204"/>
  <c r="BR54"/>
  <c r="BR189"/>
  <c r="BR70"/>
  <c r="BV70" s="1"/>
  <c r="BR212"/>
  <c r="BR77"/>
  <c r="BR300"/>
  <c r="BV300" s="1"/>
  <c r="BR67"/>
  <c r="BV67" s="1"/>
  <c r="BR124"/>
  <c r="BV124" s="1"/>
  <c r="BR200"/>
  <c r="BR92"/>
  <c r="BV92" s="1"/>
  <c r="BR291"/>
  <c r="BR114"/>
  <c r="BR183"/>
  <c r="BR35"/>
  <c r="BR144"/>
  <c r="BR295"/>
  <c r="BR198"/>
  <c r="BR154"/>
  <c r="BR196"/>
  <c r="BR64"/>
  <c r="BV64" s="1"/>
  <c r="BR165"/>
  <c r="BR203"/>
  <c r="BR81"/>
  <c r="BR172"/>
  <c r="BR23"/>
  <c r="BR170"/>
  <c r="BR299"/>
  <c r="BR194"/>
  <c r="BR42"/>
  <c r="BR106"/>
  <c r="BR190"/>
  <c r="BR51"/>
  <c r="BV51" s="1"/>
  <c r="BR234"/>
  <c r="BR231"/>
  <c r="BR161"/>
  <c r="AE238"/>
  <c r="AH289"/>
  <c r="AH290" s="1"/>
  <c r="AN289"/>
  <c r="AN290" s="1"/>
  <c r="AJ236"/>
  <c r="AJ238" s="1"/>
  <c r="AJ14"/>
  <c r="AJ16" s="1"/>
  <c r="AH236"/>
  <c r="AH238" s="1"/>
  <c r="AE290"/>
  <c r="AJ289"/>
  <c r="AJ290" s="1"/>
  <c r="AN236"/>
  <c r="BM209"/>
  <c r="BR208"/>
  <c r="BN25"/>
  <c r="BR25"/>
  <c r="AZ87"/>
  <c r="BM87" s="1"/>
  <c r="AR308"/>
  <c r="BE301"/>
  <c r="BE148"/>
  <c r="BE25"/>
  <c r="BE182"/>
  <c r="BE58"/>
  <c r="BE242"/>
  <c r="BE229"/>
  <c r="BE109"/>
  <c r="BE219"/>
  <c r="BE97"/>
  <c r="BE192"/>
  <c r="BE18"/>
  <c r="BE15"/>
  <c r="BE220"/>
  <c r="BE116"/>
  <c r="BE204"/>
  <c r="BE54"/>
  <c r="BE189"/>
  <c r="BE70"/>
  <c r="BE212"/>
  <c r="BE77"/>
  <c r="BE300"/>
  <c r="BE67"/>
  <c r="BE124"/>
  <c r="BE200"/>
  <c r="BE92"/>
  <c r="BE291"/>
  <c r="BE103"/>
  <c r="BE298"/>
  <c r="BE121"/>
  <c r="BE206"/>
  <c r="BE250"/>
  <c r="BE133"/>
  <c r="BE78"/>
  <c r="BP78"/>
  <c r="BP79" s="1"/>
  <c r="BE126"/>
  <c r="BE161"/>
  <c r="BE152"/>
  <c r="BE252"/>
  <c r="BE268"/>
  <c r="BE130"/>
  <c r="BE127"/>
  <c r="BE151"/>
  <c r="BE149"/>
  <c r="BE173"/>
  <c r="BE167"/>
  <c r="BE28"/>
  <c r="BE153"/>
  <c r="BE245"/>
  <c r="BE158"/>
  <c r="BE258"/>
  <c r="BE163"/>
  <c r="BE231"/>
  <c r="BE44"/>
  <c r="BE183"/>
  <c r="BE35"/>
  <c r="BE144"/>
  <c r="BE295"/>
  <c r="BE198"/>
  <c r="BE6"/>
  <c r="BM6"/>
  <c r="BE154"/>
  <c r="BE64"/>
  <c r="BE165"/>
  <c r="BE203"/>
  <c r="BE81"/>
  <c r="BE172"/>
  <c r="BE23"/>
  <c r="BE170"/>
  <c r="BE194"/>
  <c r="BE42"/>
  <c r="BE106"/>
  <c r="BE190"/>
  <c r="BE51"/>
  <c r="BE234"/>
  <c r="BE114"/>
  <c r="Y223"/>
  <c r="AH14"/>
  <c r="AH16" s="1"/>
  <c r="AE16"/>
  <c r="AN14"/>
  <c r="AY92"/>
  <c r="AH83"/>
  <c r="AH85" s="1"/>
  <c r="AZ119"/>
  <c r="BM119" s="1"/>
  <c r="AZ246"/>
  <c r="BM246" s="1"/>
  <c r="AZ202"/>
  <c r="BM202" s="1"/>
  <c r="AZ214"/>
  <c r="BM214" s="1"/>
  <c r="AZ232"/>
  <c r="BM232" s="1"/>
  <c r="BE90"/>
  <c r="AZ237"/>
  <c r="BM237" s="1"/>
  <c r="AZ247"/>
  <c r="BM247" s="1"/>
  <c r="AZ297"/>
  <c r="BM297" s="1"/>
  <c r="BE208"/>
  <c r="AZ209"/>
  <c r="BE197"/>
  <c r="BE180"/>
  <c r="BE169"/>
  <c r="V310"/>
  <c r="AZ22"/>
  <c r="BM22" s="1"/>
  <c r="AZ296"/>
  <c r="BM296" s="1"/>
  <c r="AZ211"/>
  <c r="BM211" s="1"/>
  <c r="AZ94"/>
  <c r="BM94" s="1"/>
  <c r="BE131"/>
  <c r="AZ216"/>
  <c r="BM216" s="1"/>
  <c r="AZ129"/>
  <c r="BM129" s="1"/>
  <c r="AZ145"/>
  <c r="BM145" s="1"/>
  <c r="AZ100"/>
  <c r="BM100" s="1"/>
  <c r="AZ175"/>
  <c r="BM175" s="1"/>
  <c r="AZ201"/>
  <c r="BM201" s="1"/>
  <c r="BE299"/>
  <c r="AZ294"/>
  <c r="BM294" s="1"/>
  <c r="AZ41"/>
  <c r="BM41" s="1"/>
  <c r="AZ9"/>
  <c r="AZ118"/>
  <c r="BM118" s="1"/>
  <c r="AZ259"/>
  <c r="BM259" s="1"/>
  <c r="AZ243"/>
  <c r="BM243" s="1"/>
  <c r="AZ141"/>
  <c r="BM141" s="1"/>
  <c r="AZ138"/>
  <c r="BM138" s="1"/>
  <c r="AZ244"/>
  <c r="BM244" s="1"/>
  <c r="AZ155"/>
  <c r="BM155" s="1"/>
  <c r="BE196"/>
  <c r="AZ178"/>
  <c r="BM178" s="1"/>
  <c r="BE45"/>
  <c r="AZ112"/>
  <c r="BM112" s="1"/>
  <c r="AZ251"/>
  <c r="BM251" s="1"/>
  <c r="AZ230"/>
  <c r="BM230" s="1"/>
  <c r="AZ86"/>
  <c r="BM86" s="1"/>
  <c r="BE176"/>
  <c r="AZ38"/>
  <c r="BM38" s="1"/>
  <c r="AZ21"/>
  <c r="BM21" s="1"/>
  <c r="BE264"/>
  <c r="AZ12"/>
  <c r="BM12" s="1"/>
  <c r="AZ128"/>
  <c r="BM128" s="1"/>
  <c r="BE293"/>
  <c r="AZ150"/>
  <c r="BM150" s="1"/>
  <c r="AZ20"/>
  <c r="BM20" s="1"/>
  <c r="AZ95"/>
  <c r="BM95" s="1"/>
  <c r="AZ19"/>
  <c r="BM19" s="1"/>
  <c r="AZ136"/>
  <c r="BM136" s="1"/>
  <c r="BE302"/>
  <c r="AV5"/>
  <c r="AV7" s="1"/>
  <c r="AE56"/>
  <c r="AV53"/>
  <c r="AV56" s="1"/>
  <c r="AV72"/>
  <c r="AV75" s="1"/>
  <c r="AV140"/>
  <c r="AV142" s="1"/>
  <c r="AV40"/>
  <c r="AV43" s="1"/>
  <c r="AV66"/>
  <c r="AV68" s="1"/>
  <c r="AV241"/>
  <c r="AV248" s="1"/>
  <c r="AV96"/>
  <c r="AV98" s="1"/>
  <c r="AV193"/>
  <c r="AV195" s="1"/>
  <c r="AV34"/>
  <c r="AV36" s="1"/>
  <c r="AV162"/>
  <c r="AV164" s="1"/>
  <c r="AV171"/>
  <c r="AV174" s="1"/>
  <c r="AV69"/>
  <c r="AV71" s="1"/>
  <c r="AV132"/>
  <c r="AV134" s="1"/>
  <c r="AH17"/>
  <c r="AH24" s="1"/>
  <c r="AH26" s="1"/>
  <c r="AV17"/>
  <c r="AV24" s="1"/>
  <c r="AV26" s="1"/>
  <c r="AV8"/>
  <c r="AV10" s="1"/>
  <c r="AV83"/>
  <c r="AV85" s="1"/>
  <c r="AE82"/>
  <c r="AV80"/>
  <c r="AV82" s="1"/>
  <c r="BA25"/>
  <c r="AV181"/>
  <c r="AV184" s="1"/>
  <c r="AV99"/>
  <c r="AV101" s="1"/>
  <c r="AV261"/>
  <c r="AV102"/>
  <c r="AV104" s="1"/>
  <c r="AV177"/>
  <c r="AV179" s="1"/>
  <c r="AV123"/>
  <c r="AV125" s="1"/>
  <c r="AV218"/>
  <c r="AV221" s="1"/>
  <c r="AV63"/>
  <c r="AV65" s="1"/>
  <c r="AV210"/>
  <c r="AV213" s="1"/>
  <c r="AV91"/>
  <c r="AV93" s="1"/>
  <c r="AV108"/>
  <c r="AV110" s="1"/>
  <c r="AV233"/>
  <c r="AV235" s="1"/>
  <c r="AH30"/>
  <c r="AH33" s="1"/>
  <c r="AV137"/>
  <c r="AV139" s="1"/>
  <c r="AH11"/>
  <c r="AH13" s="1"/>
  <c r="AV11"/>
  <c r="AV13" s="1"/>
  <c r="AV166"/>
  <c r="AV168" s="1"/>
  <c r="AV57"/>
  <c r="AV59" s="1"/>
  <c r="AV37"/>
  <c r="AV39" s="1"/>
  <c r="AV105"/>
  <c r="AV107" s="1"/>
  <c r="AV147"/>
  <c r="AV156" s="1"/>
  <c r="AV143"/>
  <c r="AV146" s="1"/>
  <c r="AV60"/>
  <c r="AV62" s="1"/>
  <c r="AV267"/>
  <c r="AV269" s="1"/>
  <c r="AV271" s="1"/>
  <c r="AV50"/>
  <c r="AV52" s="1"/>
  <c r="AV263"/>
  <c r="AV265" s="1"/>
  <c r="AV249"/>
  <c r="AV253" s="1"/>
  <c r="AV215"/>
  <c r="AV217" s="1"/>
  <c r="AV111"/>
  <c r="AV113" s="1"/>
  <c r="AV120"/>
  <c r="AV122" s="1"/>
  <c r="AV76"/>
  <c r="AV79" s="1"/>
  <c r="AV159"/>
  <c r="AV160" s="1"/>
  <c r="AV254"/>
  <c r="AV256" s="1"/>
  <c r="AV186"/>
  <c r="AV228"/>
  <c r="AH5"/>
  <c r="AH7" s="1"/>
  <c r="AE265"/>
  <c r="AE288"/>
  <c r="AH159"/>
  <c r="AH160" s="1"/>
  <c r="AH254"/>
  <c r="AH256" s="1"/>
  <c r="AE139"/>
  <c r="AN166"/>
  <c r="AR166" s="1"/>
  <c r="AH233"/>
  <c r="AH235" s="1"/>
  <c r="AH147"/>
  <c r="AH156" s="1"/>
  <c r="AH263"/>
  <c r="AH265" s="1"/>
  <c r="AR209"/>
  <c r="AE240"/>
  <c r="AE160"/>
  <c r="AR236"/>
  <c r="AZ236" s="1"/>
  <c r="BM236" s="1"/>
  <c r="AJ254"/>
  <c r="AJ256" s="1"/>
  <c r="AJ49"/>
  <c r="AR270"/>
  <c r="AZ270" s="1"/>
  <c r="BM270" s="1"/>
  <c r="Y89"/>
  <c r="AR266"/>
  <c r="AH228"/>
  <c r="AR27"/>
  <c r="AR46"/>
  <c r="AZ46" s="1"/>
  <c r="BM46" s="1"/>
  <c r="W310"/>
  <c r="Y262"/>
  <c r="AR188"/>
  <c r="AR222"/>
  <c r="AR226"/>
  <c r="AR272"/>
  <c r="AZ272" s="1"/>
  <c r="BM272" s="1"/>
  <c r="AN199"/>
  <c r="AN205" s="1"/>
  <c r="AH199"/>
  <c r="AH205" s="1"/>
  <c r="AJ199"/>
  <c r="AJ205" s="1"/>
  <c r="AR227"/>
  <c r="AR255"/>
  <c r="AZ255" s="1"/>
  <c r="BM255" s="1"/>
  <c r="AR257"/>
  <c r="AZ257" s="1"/>
  <c r="BM257" s="1"/>
  <c r="AJ123"/>
  <c r="AJ125" s="1"/>
  <c r="AN123"/>
  <c r="AJ63"/>
  <c r="AJ65" s="1"/>
  <c r="AN63"/>
  <c r="AJ210"/>
  <c r="AJ213" s="1"/>
  <c r="AN210"/>
  <c r="AN261"/>
  <c r="AJ37"/>
  <c r="AJ39" s="1"/>
  <c r="AN37"/>
  <c r="AJ60"/>
  <c r="AJ62" s="1"/>
  <c r="AN60"/>
  <c r="AN62" s="1"/>
  <c r="AJ105"/>
  <c r="AJ107" s="1"/>
  <c r="AN105"/>
  <c r="AJ233"/>
  <c r="AJ235" s="1"/>
  <c r="AN233"/>
  <c r="AN235" s="1"/>
  <c r="AR239"/>
  <c r="AJ8"/>
  <c r="AJ10" s="1"/>
  <c r="AN8"/>
  <c r="AN249"/>
  <c r="AR249" s="1"/>
  <c r="AN228"/>
  <c r="AJ143"/>
  <c r="AJ146" s="1"/>
  <c r="AN143"/>
  <c r="AJ115"/>
  <c r="AJ117" s="1"/>
  <c r="AN115"/>
  <c r="AJ215"/>
  <c r="AJ217" s="1"/>
  <c r="AN215"/>
  <c r="AJ111"/>
  <c r="AJ113" s="1"/>
  <c r="AN111"/>
  <c r="AJ120"/>
  <c r="AJ122" s="1"/>
  <c r="AN120"/>
  <c r="AJ66"/>
  <c r="AJ68" s="1"/>
  <c r="AN66"/>
  <c r="AJ241"/>
  <c r="AJ248" s="1"/>
  <c r="AN241"/>
  <c r="AJ96"/>
  <c r="AJ98" s="1"/>
  <c r="AN96"/>
  <c r="AJ193"/>
  <c r="AJ195" s="1"/>
  <c r="AN193"/>
  <c r="AJ34"/>
  <c r="AJ36" s="1"/>
  <c r="AN34"/>
  <c r="AJ162"/>
  <c r="AJ164" s="1"/>
  <c r="AN162"/>
  <c r="AJ171"/>
  <c r="AJ174" s="1"/>
  <c r="AN171"/>
  <c r="AJ69"/>
  <c r="AJ71" s="1"/>
  <c r="AN69"/>
  <c r="AJ108"/>
  <c r="AJ110" s="1"/>
  <c r="AN108"/>
  <c r="AJ159"/>
  <c r="AJ160" s="1"/>
  <c r="AN159"/>
  <c r="AN254"/>
  <c r="AR254" s="1"/>
  <c r="AJ147"/>
  <c r="AJ156" s="1"/>
  <c r="AN147"/>
  <c r="AJ80"/>
  <c r="AJ82" s="1"/>
  <c r="AN80"/>
  <c r="AR80" s="1"/>
  <c r="AN49"/>
  <c r="AN57"/>
  <c r="AH57"/>
  <c r="AH59" s="1"/>
  <c r="AJ57"/>
  <c r="AJ59" s="1"/>
  <c r="AE253"/>
  <c r="AE24"/>
  <c r="AE10"/>
  <c r="AH8"/>
  <c r="AH10" s="1"/>
  <c r="AH49"/>
  <c r="AJ177"/>
  <c r="AJ179" s="1"/>
  <c r="AN177"/>
  <c r="AJ218"/>
  <c r="AJ221" s="1"/>
  <c r="AN218"/>
  <c r="AJ91"/>
  <c r="AJ93" s="1"/>
  <c r="AN91"/>
  <c r="AJ50"/>
  <c r="AJ52" s="1"/>
  <c r="AN50"/>
  <c r="AJ17"/>
  <c r="AJ24" s="1"/>
  <c r="AJ26" s="1"/>
  <c r="AN17"/>
  <c r="AJ30"/>
  <c r="AJ33" s="1"/>
  <c r="AN30"/>
  <c r="AN33" s="1"/>
  <c r="AN286"/>
  <c r="AN288" s="1"/>
  <c r="AJ102"/>
  <c r="AJ104" s="1"/>
  <c r="AN102"/>
  <c r="AJ181"/>
  <c r="AJ184" s="1"/>
  <c r="AN181"/>
  <c r="AJ99"/>
  <c r="AJ101" s="1"/>
  <c r="AN99"/>
  <c r="AJ267"/>
  <c r="AJ269" s="1"/>
  <c r="AJ271" s="1"/>
  <c r="AN267"/>
  <c r="AJ40"/>
  <c r="AJ43" s="1"/>
  <c r="AN40"/>
  <c r="AJ76"/>
  <c r="AJ79" s="1"/>
  <c r="AN76"/>
  <c r="AJ83"/>
  <c r="AJ85" s="1"/>
  <c r="AN83"/>
  <c r="AN238"/>
  <c r="AJ53"/>
  <c r="AJ56" s="1"/>
  <c r="AN53"/>
  <c r="AN56" s="1"/>
  <c r="AJ72"/>
  <c r="AJ75" s="1"/>
  <c r="AN72"/>
  <c r="AN75" s="1"/>
  <c r="AJ140"/>
  <c r="AJ142" s="1"/>
  <c r="AN140"/>
  <c r="AJ132"/>
  <c r="AJ134" s="1"/>
  <c r="AN132"/>
  <c r="AJ263"/>
  <c r="AJ265" s="1"/>
  <c r="AN263"/>
  <c r="AN265" s="1"/>
  <c r="AN5"/>
  <c r="AJ5"/>
  <c r="AJ7" s="1"/>
  <c r="AJ137"/>
  <c r="AJ139" s="1"/>
  <c r="AN137"/>
  <c r="AH137"/>
  <c r="AH139" s="1"/>
  <c r="AJ11"/>
  <c r="AJ13" s="1"/>
  <c r="AN11"/>
  <c r="AN191"/>
  <c r="AN29"/>
  <c r="AN260"/>
  <c r="AJ228"/>
  <c r="AH261"/>
  <c r="AJ261"/>
  <c r="AE209"/>
  <c r="AH209"/>
  <c r="AE117"/>
  <c r="AH115"/>
  <c r="AH117" s="1"/>
  <c r="AH53"/>
  <c r="AH56" s="1"/>
  <c r="AE125"/>
  <c r="AH123"/>
  <c r="AH125" s="1"/>
  <c r="AE168"/>
  <c r="AH168"/>
  <c r="AE104"/>
  <c r="AH102"/>
  <c r="AH104" s="1"/>
  <c r="AE68"/>
  <c r="AH66"/>
  <c r="AH68" s="1"/>
  <c r="AE39"/>
  <c r="AH37"/>
  <c r="AH39" s="1"/>
  <c r="AE248"/>
  <c r="AH241"/>
  <c r="AH248" s="1"/>
  <c r="AE98"/>
  <c r="AH96"/>
  <c r="AH98" s="1"/>
  <c r="AE195"/>
  <c r="AH193"/>
  <c r="AH195" s="1"/>
  <c r="AE101"/>
  <c r="AH99"/>
  <c r="AH101" s="1"/>
  <c r="AE36"/>
  <c r="AH34"/>
  <c r="AH36" s="1"/>
  <c r="AE164"/>
  <c r="AH162"/>
  <c r="AH164" s="1"/>
  <c r="AE269"/>
  <c r="AH267"/>
  <c r="AH269" s="1"/>
  <c r="AH271" s="1"/>
  <c r="AE107"/>
  <c r="AH105"/>
  <c r="AH107" s="1"/>
  <c r="AE71"/>
  <c r="AH69"/>
  <c r="AH71" s="1"/>
  <c r="AE43"/>
  <c r="AH40"/>
  <c r="AH43" s="1"/>
  <c r="AE110"/>
  <c r="AH108"/>
  <c r="AH110" s="1"/>
  <c r="AE79"/>
  <c r="AH76"/>
  <c r="AH79" s="1"/>
  <c r="AE184"/>
  <c r="AH181"/>
  <c r="AH184" s="1"/>
  <c r="AH60"/>
  <c r="AH62" s="1"/>
  <c r="AE174"/>
  <c r="AH171"/>
  <c r="AH174" s="1"/>
  <c r="AE146"/>
  <c r="AH143"/>
  <c r="AH146" s="1"/>
  <c r="AE179"/>
  <c r="AH177"/>
  <c r="AH179" s="1"/>
  <c r="AE217"/>
  <c r="AH215"/>
  <c r="AH217" s="1"/>
  <c r="AH72"/>
  <c r="AH75" s="1"/>
  <c r="AE113"/>
  <c r="AH111"/>
  <c r="AH113" s="1"/>
  <c r="AE65"/>
  <c r="AH63"/>
  <c r="AH65" s="1"/>
  <c r="AE213"/>
  <c r="AH210"/>
  <c r="AH213" s="1"/>
  <c r="AE93"/>
  <c r="AH91"/>
  <c r="AH93" s="1"/>
  <c r="AE59"/>
  <c r="AE187"/>
  <c r="AE134"/>
  <c r="AH132"/>
  <c r="AH134" s="1"/>
  <c r="AE52"/>
  <c r="AH50"/>
  <c r="AH52" s="1"/>
  <c r="AE221"/>
  <c r="AH218"/>
  <c r="AH221" s="1"/>
  <c r="AE142"/>
  <c r="AH140"/>
  <c r="AH142" s="1"/>
  <c r="AE122"/>
  <c r="AH120"/>
  <c r="AH122" s="1"/>
  <c r="BV65" l="1"/>
  <c r="BV125"/>
  <c r="BV16"/>
  <c r="BV219"/>
  <c r="BV103"/>
  <c r="BV29"/>
  <c r="BV149"/>
  <c r="BV130"/>
  <c r="BV52"/>
  <c r="BV194"/>
  <c r="BV23"/>
  <c r="BV77"/>
  <c r="BV54"/>
  <c r="BV220"/>
  <c r="BV98"/>
  <c r="BV58"/>
  <c r="BV153"/>
  <c r="BV152"/>
  <c r="BV25"/>
  <c r="BV234"/>
  <c r="BV42"/>
  <c r="BV154"/>
  <c r="BV35"/>
  <c r="BV93"/>
  <c r="BV133"/>
  <c r="BV121"/>
  <c r="BV106"/>
  <c r="BV81"/>
  <c r="BV68"/>
  <c r="BV71"/>
  <c r="BV116"/>
  <c r="BV18"/>
  <c r="BV109"/>
  <c r="BV148"/>
  <c r="BV151"/>
  <c r="BV268"/>
  <c r="BV308"/>
  <c r="AZ249"/>
  <c r="BM249" s="1"/>
  <c r="BM253" s="1"/>
  <c r="AN168"/>
  <c r="BE87"/>
  <c r="AR14"/>
  <c r="AZ14" s="1"/>
  <c r="BM14" s="1"/>
  <c r="AV262"/>
  <c r="BV191"/>
  <c r="BR255"/>
  <c r="BR270"/>
  <c r="BR136"/>
  <c r="BR150"/>
  <c r="BR86"/>
  <c r="BV86" s="1"/>
  <c r="BR244"/>
  <c r="BR259"/>
  <c r="BR294"/>
  <c r="BR175"/>
  <c r="BR216"/>
  <c r="BV216" s="1"/>
  <c r="BR296"/>
  <c r="BR297"/>
  <c r="BR232"/>
  <c r="BR119"/>
  <c r="BR87"/>
  <c r="BR257"/>
  <c r="BR20"/>
  <c r="BR12"/>
  <c r="BR112"/>
  <c r="BR155"/>
  <c r="BR243"/>
  <c r="BR41"/>
  <c r="BR201"/>
  <c r="BR129"/>
  <c r="BR211"/>
  <c r="BR246"/>
  <c r="BR95"/>
  <c r="BR128"/>
  <c r="BR38"/>
  <c r="BR251"/>
  <c r="BR141"/>
  <c r="BR145"/>
  <c r="BR94"/>
  <c r="BR237"/>
  <c r="BR202"/>
  <c r="BR6"/>
  <c r="BR19"/>
  <c r="BR21"/>
  <c r="BR230"/>
  <c r="BR178"/>
  <c r="BR138"/>
  <c r="BR118"/>
  <c r="BR100"/>
  <c r="BR22"/>
  <c r="BR247"/>
  <c r="BR214"/>
  <c r="AR289"/>
  <c r="AR290" s="1"/>
  <c r="BR209"/>
  <c r="BM286"/>
  <c r="BR272"/>
  <c r="BV272" s="1"/>
  <c r="BM49"/>
  <c r="BR46"/>
  <c r="BT78"/>
  <c r="BR78"/>
  <c r="BM238"/>
  <c r="BR236"/>
  <c r="BM308"/>
  <c r="BM260"/>
  <c r="AJ135"/>
  <c r="AJ223"/>
  <c r="AJ240"/>
  <c r="AH240"/>
  <c r="AV240"/>
  <c r="AZ222"/>
  <c r="BM222" s="1"/>
  <c r="AH135"/>
  <c r="AJ262"/>
  <c r="AV185"/>
  <c r="AH89"/>
  <c r="AZ239"/>
  <c r="BM239" s="1"/>
  <c r="AH185"/>
  <c r="AJ89"/>
  <c r="AJ185"/>
  <c r="AV89"/>
  <c r="AV135"/>
  <c r="AZ308"/>
  <c r="AR263"/>
  <c r="AR265" s="1"/>
  <c r="BE19"/>
  <c r="BE244"/>
  <c r="BE141"/>
  <c r="BE259"/>
  <c r="BE9"/>
  <c r="BM9"/>
  <c r="BE41"/>
  <c r="BE100"/>
  <c r="BE129"/>
  <c r="BE211"/>
  <c r="BE255"/>
  <c r="BE20"/>
  <c r="BE12"/>
  <c r="BE21"/>
  <c r="BE112"/>
  <c r="BE178"/>
  <c r="BE175"/>
  <c r="BE22"/>
  <c r="BE237"/>
  <c r="BE232"/>
  <c r="BE202"/>
  <c r="BD92"/>
  <c r="BL92"/>
  <c r="BE270"/>
  <c r="BE136"/>
  <c r="BE155"/>
  <c r="BE138"/>
  <c r="BE243"/>
  <c r="BE145"/>
  <c r="BE216"/>
  <c r="BE94"/>
  <c r="BE150"/>
  <c r="BE128"/>
  <c r="BE38"/>
  <c r="BE251"/>
  <c r="BE201"/>
  <c r="BE247"/>
  <c r="BE214"/>
  <c r="BE246"/>
  <c r="AR159"/>
  <c r="AN16"/>
  <c r="BA92"/>
  <c r="AR5"/>
  <c r="AZ5" s="1"/>
  <c r="BM5" s="1"/>
  <c r="AR83"/>
  <c r="AR85" s="1"/>
  <c r="AN85"/>
  <c r="AR147"/>
  <c r="AZ147" s="1"/>
  <c r="BM147" s="1"/>
  <c r="AR17"/>
  <c r="AZ17" s="1"/>
  <c r="AR30"/>
  <c r="AR33" s="1"/>
  <c r="AZ166"/>
  <c r="AR11"/>
  <c r="AR13" s="1"/>
  <c r="AZ80"/>
  <c r="BM80" s="1"/>
  <c r="AZ254"/>
  <c r="BM254" s="1"/>
  <c r="AR233"/>
  <c r="BE249"/>
  <c r="BE257"/>
  <c r="AZ260"/>
  <c r="BE46"/>
  <c r="BE49" s="1"/>
  <c r="AZ49"/>
  <c r="BE230"/>
  <c r="BE296"/>
  <c r="BE209"/>
  <c r="BE236"/>
  <c r="AZ238"/>
  <c r="AZ186"/>
  <c r="BM186" s="1"/>
  <c r="BE297"/>
  <c r="BE119"/>
  <c r="BE239"/>
  <c r="AZ226"/>
  <c r="BM226" s="1"/>
  <c r="AZ227"/>
  <c r="BM227" s="1"/>
  <c r="BE272"/>
  <c r="AZ286"/>
  <c r="AZ288" s="1"/>
  <c r="BE95"/>
  <c r="BE86"/>
  <c r="BE118"/>
  <c r="BE294"/>
  <c r="AZ188"/>
  <c r="BM188" s="1"/>
  <c r="AZ27"/>
  <c r="BM27" s="1"/>
  <c r="AZ266"/>
  <c r="BM266" s="1"/>
  <c r="AR168"/>
  <c r="AV187"/>
  <c r="AV223" s="1"/>
  <c r="Y310"/>
  <c r="AR29"/>
  <c r="AE271"/>
  <c r="AR191"/>
  <c r="AR260"/>
  <c r="AR49"/>
  <c r="AR16"/>
  <c r="AR82"/>
  <c r="AR256"/>
  <c r="AR253"/>
  <c r="AR238"/>
  <c r="AR286"/>
  <c r="AR137"/>
  <c r="AZ137" s="1"/>
  <c r="BM137" s="1"/>
  <c r="AR53"/>
  <c r="AZ53" s="1"/>
  <c r="BM53" s="1"/>
  <c r="AR50"/>
  <c r="AE262"/>
  <c r="AR76"/>
  <c r="AZ76" s="1"/>
  <c r="BM76" s="1"/>
  <c r="AR267"/>
  <c r="AZ267" s="1"/>
  <c r="BM267" s="1"/>
  <c r="AR181"/>
  <c r="AR108"/>
  <c r="AZ108" s="1"/>
  <c r="BM108" s="1"/>
  <c r="AR171"/>
  <c r="AZ171" s="1"/>
  <c r="BM171" s="1"/>
  <c r="AR34"/>
  <c r="AR96"/>
  <c r="AR66"/>
  <c r="AZ66" s="1"/>
  <c r="BM66" s="1"/>
  <c r="AR111"/>
  <c r="AR115"/>
  <c r="AR132"/>
  <c r="AR72"/>
  <c r="AR91"/>
  <c r="AR177"/>
  <c r="AZ177" s="1"/>
  <c r="BM177" s="1"/>
  <c r="AR8"/>
  <c r="AZ8" s="1"/>
  <c r="BM8" s="1"/>
  <c r="AR60"/>
  <c r="AR261"/>
  <c r="AR63"/>
  <c r="AH262"/>
  <c r="AR40"/>
  <c r="AZ40" s="1"/>
  <c r="BM40" s="1"/>
  <c r="AR99"/>
  <c r="AR102"/>
  <c r="AZ102" s="1"/>
  <c r="BM102" s="1"/>
  <c r="AR57"/>
  <c r="AZ57" s="1"/>
  <c r="BM57" s="1"/>
  <c r="AR69"/>
  <c r="AZ69" s="1"/>
  <c r="BM69" s="1"/>
  <c r="AR162"/>
  <c r="AR193"/>
  <c r="AR241"/>
  <c r="AZ241" s="1"/>
  <c r="BM241" s="1"/>
  <c r="AR120"/>
  <c r="AZ120" s="1"/>
  <c r="BM120" s="1"/>
  <c r="AR215"/>
  <c r="AR143"/>
  <c r="AZ143" s="1"/>
  <c r="BM143" s="1"/>
  <c r="AR199"/>
  <c r="AZ199" s="1"/>
  <c r="BM199" s="1"/>
  <c r="AR228"/>
  <c r="AR140"/>
  <c r="AZ140" s="1"/>
  <c r="BM140" s="1"/>
  <c r="AR218"/>
  <c r="AR105"/>
  <c r="AZ105" s="1"/>
  <c r="BM105" s="1"/>
  <c r="AR37"/>
  <c r="AZ37" s="1"/>
  <c r="BM37" s="1"/>
  <c r="AR210"/>
  <c r="AR123"/>
  <c r="AN269"/>
  <c r="AN271" s="1"/>
  <c r="AN93"/>
  <c r="AN117"/>
  <c r="AN39"/>
  <c r="AN125"/>
  <c r="AN101"/>
  <c r="AN156"/>
  <c r="AN256"/>
  <c r="AN110"/>
  <c r="AN36"/>
  <c r="AN68"/>
  <c r="AN10"/>
  <c r="AN79"/>
  <c r="AN184"/>
  <c r="AN104"/>
  <c r="AN24"/>
  <c r="AN26" s="1"/>
  <c r="AN221"/>
  <c r="AN59"/>
  <c r="AN71"/>
  <c r="AN195"/>
  <c r="AN122"/>
  <c r="AN146"/>
  <c r="AN240"/>
  <c r="AN213"/>
  <c r="AN142"/>
  <c r="AE26"/>
  <c r="AE89" s="1"/>
  <c r="AN164"/>
  <c r="AN13"/>
  <c r="AN139"/>
  <c r="AN7"/>
  <c r="AN134"/>
  <c r="AN43"/>
  <c r="AN52"/>
  <c r="AN179"/>
  <c r="AN82"/>
  <c r="AN160"/>
  <c r="AN174"/>
  <c r="AN98"/>
  <c r="AN248"/>
  <c r="AN113"/>
  <c r="AN217"/>
  <c r="AN253"/>
  <c r="AN107"/>
  <c r="AN65"/>
  <c r="AH187"/>
  <c r="AH223" s="1"/>
  <c r="AE185"/>
  <c r="AE135"/>
  <c r="AE223"/>
  <c r="G308"/>
  <c r="G310" s="1"/>
  <c r="AZ233" l="1"/>
  <c r="AR235"/>
  <c r="AZ289"/>
  <c r="BM289" s="1"/>
  <c r="BM290" s="1"/>
  <c r="AZ253"/>
  <c r="BE14"/>
  <c r="BE16" s="1"/>
  <c r="BR249"/>
  <c r="BV78"/>
  <c r="BV100"/>
  <c r="BV6"/>
  <c r="BV128"/>
  <c r="BV20"/>
  <c r="BV22"/>
  <c r="BV19"/>
  <c r="BV94"/>
  <c r="BV38"/>
  <c r="BV41"/>
  <c r="BV12"/>
  <c r="BV82"/>
  <c r="BV122"/>
  <c r="BV36"/>
  <c r="BV56"/>
  <c r="BV104"/>
  <c r="BV21"/>
  <c r="BV237"/>
  <c r="BV112"/>
  <c r="BV150"/>
  <c r="BV95"/>
  <c r="BV155"/>
  <c r="BV59"/>
  <c r="BV142"/>
  <c r="BV179"/>
  <c r="BR308"/>
  <c r="BR260"/>
  <c r="AV310"/>
  <c r="BE222"/>
  <c r="BV256"/>
  <c r="BV260"/>
  <c r="BR37"/>
  <c r="BR39" s="1"/>
  <c r="BV209"/>
  <c r="BR266"/>
  <c r="BV266" s="1"/>
  <c r="BR226"/>
  <c r="BR9"/>
  <c r="BV9" s="1"/>
  <c r="BR222"/>
  <c r="BM16"/>
  <c r="BR8"/>
  <c r="BR227"/>
  <c r="BR239"/>
  <c r="AZ263"/>
  <c r="AZ265" s="1"/>
  <c r="BR14"/>
  <c r="BR16" s="1"/>
  <c r="BV228"/>
  <c r="AR7"/>
  <c r="AZ83"/>
  <c r="BM83" s="1"/>
  <c r="AZ16"/>
  <c r="BT79"/>
  <c r="BR238"/>
  <c r="BR49"/>
  <c r="BR286"/>
  <c r="BR253"/>
  <c r="BE253"/>
  <c r="BM146"/>
  <c r="BR143"/>
  <c r="BM122"/>
  <c r="BR120"/>
  <c r="BM71"/>
  <c r="BR69"/>
  <c r="BM104"/>
  <c r="BR102"/>
  <c r="BM43"/>
  <c r="BR40"/>
  <c r="BM179"/>
  <c r="BR177"/>
  <c r="BM68"/>
  <c r="BR66"/>
  <c r="BM110"/>
  <c r="BR108"/>
  <c r="BM269"/>
  <c r="BR267"/>
  <c r="BV267" s="1"/>
  <c r="BM56"/>
  <c r="BR53"/>
  <c r="BM256"/>
  <c r="BR254"/>
  <c r="BM156"/>
  <c r="BR147"/>
  <c r="BV147" s="1"/>
  <c r="BM7"/>
  <c r="BR5"/>
  <c r="BV5" s="1"/>
  <c r="BM288"/>
  <c r="BM107"/>
  <c r="BR105"/>
  <c r="BV105" s="1"/>
  <c r="BM142"/>
  <c r="BR140"/>
  <c r="BM205"/>
  <c r="BR199"/>
  <c r="BM248"/>
  <c r="BR241"/>
  <c r="BM59"/>
  <c r="BR57"/>
  <c r="BM174"/>
  <c r="BR171"/>
  <c r="BM79"/>
  <c r="BR76"/>
  <c r="BV76" s="1"/>
  <c r="BM139"/>
  <c r="BR137"/>
  <c r="BM29"/>
  <c r="BR27"/>
  <c r="BM191"/>
  <c r="BR188"/>
  <c r="BM187"/>
  <c r="BR186"/>
  <c r="BM82"/>
  <c r="BR80"/>
  <c r="BN92"/>
  <c r="BQ92"/>
  <c r="BU92" s="1"/>
  <c r="BM39"/>
  <c r="BN37"/>
  <c r="BE166"/>
  <c r="BE168" s="1"/>
  <c r="BM166"/>
  <c r="AZ24"/>
  <c r="AZ26" s="1"/>
  <c r="BM17"/>
  <c r="BM228"/>
  <c r="AJ310"/>
  <c r="AZ11"/>
  <c r="BM11" s="1"/>
  <c r="AZ159"/>
  <c r="BM159" s="1"/>
  <c r="BE308"/>
  <c r="AN185"/>
  <c r="AN262"/>
  <c r="AN135"/>
  <c r="AN223"/>
  <c r="AH310"/>
  <c r="AN89"/>
  <c r="BM10"/>
  <c r="AR160"/>
  <c r="AR156"/>
  <c r="BE227"/>
  <c r="AZ168"/>
  <c r="BE233"/>
  <c r="BE235" s="1"/>
  <c r="AZ256"/>
  <c r="BE80"/>
  <c r="BE82" s="1"/>
  <c r="BE17"/>
  <c r="BE24" s="1"/>
  <c r="BE26" s="1"/>
  <c r="AZ82"/>
  <c r="AR24"/>
  <c r="AR26" s="1"/>
  <c r="AR240"/>
  <c r="AZ72"/>
  <c r="BM72" s="1"/>
  <c r="AR75"/>
  <c r="AZ60"/>
  <c r="BM60" s="1"/>
  <c r="AR62"/>
  <c r="BE254"/>
  <c r="BE256" s="1"/>
  <c r="AZ30"/>
  <c r="BM30" s="1"/>
  <c r="AZ123"/>
  <c r="BM123" s="1"/>
  <c r="AZ218"/>
  <c r="BM218" s="1"/>
  <c r="BE143"/>
  <c r="AZ146"/>
  <c r="AZ193"/>
  <c r="BM193" s="1"/>
  <c r="BE102"/>
  <c r="BE104" s="1"/>
  <c r="AZ104"/>
  <c r="AZ63"/>
  <c r="BM63" s="1"/>
  <c r="AZ132"/>
  <c r="BM132" s="1"/>
  <c r="AZ96"/>
  <c r="BM96" s="1"/>
  <c r="AZ181"/>
  <c r="BM181" s="1"/>
  <c r="AZ50"/>
  <c r="BM50" s="1"/>
  <c r="BE27"/>
  <c r="AZ29"/>
  <c r="BE238"/>
  <c r="BE5"/>
  <c r="AZ7"/>
  <c r="BE105"/>
  <c r="AZ107"/>
  <c r="BE199"/>
  <c r="BE205" s="1"/>
  <c r="AZ205"/>
  <c r="BE241"/>
  <c r="AZ248"/>
  <c r="BE57"/>
  <c r="AZ59"/>
  <c r="BE8"/>
  <c r="BE10" s="1"/>
  <c r="AZ10"/>
  <c r="BE66"/>
  <c r="AZ68"/>
  <c r="BE108"/>
  <c r="AZ110"/>
  <c r="BE137"/>
  <c r="BE139" s="1"/>
  <c r="AZ139"/>
  <c r="BE147"/>
  <c r="AZ156"/>
  <c r="BE289"/>
  <c r="AZ290"/>
  <c r="BE226"/>
  <c r="AZ228"/>
  <c r="BE260"/>
  <c r="BE37"/>
  <c r="BE39" s="1"/>
  <c r="AZ39"/>
  <c r="BE120"/>
  <c r="AZ122"/>
  <c r="BE40"/>
  <c r="AZ43"/>
  <c r="AZ91"/>
  <c r="BM91" s="1"/>
  <c r="BE171"/>
  <c r="AZ174"/>
  <c r="BE76"/>
  <c r="AZ79"/>
  <c r="BE53"/>
  <c r="AZ56"/>
  <c r="BE266"/>
  <c r="BE188"/>
  <c r="AZ191"/>
  <c r="BE286"/>
  <c r="BE288" s="1"/>
  <c r="BE69"/>
  <c r="BE71" s="1"/>
  <c r="AZ71"/>
  <c r="AZ111"/>
  <c r="BM111" s="1"/>
  <c r="AZ210"/>
  <c r="BM210" s="1"/>
  <c r="BE140"/>
  <c r="BE142" s="1"/>
  <c r="AZ142"/>
  <c r="AZ215"/>
  <c r="BM215" s="1"/>
  <c r="AZ162"/>
  <c r="BM162" s="1"/>
  <c r="AZ99"/>
  <c r="BM99" s="1"/>
  <c r="AZ261"/>
  <c r="BM261" s="1"/>
  <c r="BE177"/>
  <c r="BE179" s="1"/>
  <c r="AZ179"/>
  <c r="AZ115"/>
  <c r="BM115" s="1"/>
  <c r="AZ34"/>
  <c r="BM34" s="1"/>
  <c r="BE267"/>
  <c r="AZ269"/>
  <c r="AZ271" s="1"/>
  <c r="BE186"/>
  <c r="AZ187"/>
  <c r="AE310"/>
  <c r="AR56"/>
  <c r="AR213"/>
  <c r="AR142"/>
  <c r="AR217"/>
  <c r="AR164"/>
  <c r="AR101"/>
  <c r="AR65"/>
  <c r="AR134"/>
  <c r="AR98"/>
  <c r="AR184"/>
  <c r="AR52"/>
  <c r="AR125"/>
  <c r="AR221"/>
  <c r="AR146"/>
  <c r="AR195"/>
  <c r="AR104"/>
  <c r="AR10"/>
  <c r="AR68"/>
  <c r="AR110"/>
  <c r="AR139"/>
  <c r="AR288"/>
  <c r="AR107"/>
  <c r="AR205"/>
  <c r="AR248"/>
  <c r="AR262" s="1"/>
  <c r="AR59"/>
  <c r="AR93"/>
  <c r="AR113"/>
  <c r="AR174"/>
  <c r="AR79"/>
  <c r="AR39"/>
  <c r="AR122"/>
  <c r="AR71"/>
  <c r="AR43"/>
  <c r="AR179"/>
  <c r="AR117"/>
  <c r="AR36"/>
  <c r="AR269"/>
  <c r="I308"/>
  <c r="I310" s="1"/>
  <c r="J308"/>
  <c r="K308"/>
  <c r="L308"/>
  <c r="N308"/>
  <c r="O308"/>
  <c r="P308"/>
  <c r="S308"/>
  <c r="Q302"/>
  <c r="Q301"/>
  <c r="Q300"/>
  <c r="Q299"/>
  <c r="Q298"/>
  <c r="Q297"/>
  <c r="Q296"/>
  <c r="Q295"/>
  <c r="Q294"/>
  <c r="Q293"/>
  <c r="Q292"/>
  <c r="Q291"/>
  <c r="M292"/>
  <c r="M293"/>
  <c r="M294"/>
  <c r="M295"/>
  <c r="M296"/>
  <c r="M297"/>
  <c r="M298"/>
  <c r="M299"/>
  <c r="R299" s="1"/>
  <c r="X299" s="1"/>
  <c r="AD299" s="1"/>
  <c r="M300"/>
  <c r="M301"/>
  <c r="M302"/>
  <c r="M291"/>
  <c r="R291" s="1"/>
  <c r="X291" s="1"/>
  <c r="AD291" s="1"/>
  <c r="BR289" l="1"/>
  <c r="BM233"/>
  <c r="AZ235"/>
  <c r="BE83"/>
  <c r="BE85" s="1"/>
  <c r="BE263"/>
  <c r="BE265" s="1"/>
  <c r="BM85"/>
  <c r="BV113"/>
  <c r="BV156"/>
  <c r="BR43"/>
  <c r="BV40"/>
  <c r="BV10"/>
  <c r="BV39"/>
  <c r="BV79"/>
  <c r="BV238"/>
  <c r="BV7"/>
  <c r="BE11"/>
  <c r="BE13" s="1"/>
  <c r="BR228"/>
  <c r="BE60"/>
  <c r="BE62" s="1"/>
  <c r="BM263"/>
  <c r="BR10"/>
  <c r="BR83"/>
  <c r="BV83" s="1"/>
  <c r="BM134"/>
  <c r="BV253"/>
  <c r="BV286"/>
  <c r="BV288" s="1"/>
  <c r="BE159"/>
  <c r="BE160" s="1"/>
  <c r="AZ13"/>
  <c r="AZ85"/>
  <c r="BR7"/>
  <c r="BR156"/>
  <c r="BR256"/>
  <c r="BR290"/>
  <c r="BV290"/>
  <c r="BR56"/>
  <c r="BR269"/>
  <c r="BR110"/>
  <c r="BV110"/>
  <c r="BR68"/>
  <c r="BR179"/>
  <c r="BR104"/>
  <c r="BR71"/>
  <c r="BR122"/>
  <c r="BR146"/>
  <c r="BR288"/>
  <c r="BR82"/>
  <c r="BR187"/>
  <c r="BR191"/>
  <c r="BR29"/>
  <c r="BR139"/>
  <c r="BR79"/>
  <c r="BR174"/>
  <c r="BR59"/>
  <c r="BR248"/>
  <c r="BR205"/>
  <c r="BR142"/>
  <c r="BR107"/>
  <c r="BM36"/>
  <c r="BR34"/>
  <c r="BM117"/>
  <c r="BR115"/>
  <c r="BM262"/>
  <c r="BR261"/>
  <c r="BM101"/>
  <c r="BR99"/>
  <c r="BV99" s="1"/>
  <c r="BM164"/>
  <c r="BR162"/>
  <c r="BM217"/>
  <c r="BR215"/>
  <c r="BM213"/>
  <c r="BR210"/>
  <c r="BM113"/>
  <c r="BR111"/>
  <c r="BM93"/>
  <c r="BR91"/>
  <c r="BM52"/>
  <c r="BR50"/>
  <c r="BM184"/>
  <c r="BR181"/>
  <c r="BM98"/>
  <c r="BR96"/>
  <c r="BR132"/>
  <c r="BV132" s="1"/>
  <c r="BM65"/>
  <c r="BR63"/>
  <c r="BM195"/>
  <c r="BR193"/>
  <c r="BV193" s="1"/>
  <c r="BM221"/>
  <c r="BR218"/>
  <c r="BV218" s="1"/>
  <c r="BM125"/>
  <c r="BR123"/>
  <c r="BM62"/>
  <c r="BR60"/>
  <c r="BM75"/>
  <c r="BR72"/>
  <c r="BM13"/>
  <c r="BR11"/>
  <c r="BV11" s="1"/>
  <c r="BM271"/>
  <c r="BM33"/>
  <c r="BR30"/>
  <c r="BM160"/>
  <c r="BR159"/>
  <c r="BM24"/>
  <c r="BR17"/>
  <c r="BV17" s="1"/>
  <c r="BM168"/>
  <c r="BR166"/>
  <c r="AZ160"/>
  <c r="AR89"/>
  <c r="AZ240"/>
  <c r="AR185"/>
  <c r="AR135"/>
  <c r="AR223"/>
  <c r="AZ262"/>
  <c r="AN310"/>
  <c r="AZ75"/>
  <c r="AZ62"/>
  <c r="AZ33"/>
  <c r="BE72"/>
  <c r="BE75" s="1"/>
  <c r="BE30"/>
  <c r="BE33" s="1"/>
  <c r="BE99"/>
  <c r="AZ101"/>
  <c r="BE215"/>
  <c r="AZ217"/>
  <c r="BE91"/>
  <c r="AZ93"/>
  <c r="BE122"/>
  <c r="BE110"/>
  <c r="BE107"/>
  <c r="BE29"/>
  <c r="BE123"/>
  <c r="BE125" s="1"/>
  <c r="AZ125"/>
  <c r="BE34"/>
  <c r="AZ36"/>
  <c r="BE111"/>
  <c r="AZ113"/>
  <c r="BE191"/>
  <c r="BE56"/>
  <c r="BE174"/>
  <c r="BE228"/>
  <c r="BE240" s="1"/>
  <c r="BE156"/>
  <c r="BE248"/>
  <c r="BE181"/>
  <c r="BE184" s="1"/>
  <c r="AZ184"/>
  <c r="BE132"/>
  <c r="AZ134"/>
  <c r="BE269"/>
  <c r="BE271" s="1"/>
  <c r="BE261"/>
  <c r="BE162"/>
  <c r="BE164" s="1"/>
  <c r="AZ164"/>
  <c r="BE43"/>
  <c r="BE68"/>
  <c r="BE7"/>
  <c r="BE193"/>
  <c r="AZ195"/>
  <c r="BE218"/>
  <c r="AZ221"/>
  <c r="BE187"/>
  <c r="BE115"/>
  <c r="AZ117"/>
  <c r="BE210"/>
  <c r="AZ213"/>
  <c r="BE79"/>
  <c r="BE290"/>
  <c r="BE59"/>
  <c r="BE50"/>
  <c r="AZ52"/>
  <c r="BE96"/>
  <c r="AZ98"/>
  <c r="BE63"/>
  <c r="BE65" s="1"/>
  <c r="AZ65"/>
  <c r="BE146"/>
  <c r="AU291"/>
  <c r="AU299"/>
  <c r="BA37"/>
  <c r="AR271"/>
  <c r="AM291"/>
  <c r="AC291"/>
  <c r="AM299"/>
  <c r="AC299"/>
  <c r="AG291"/>
  <c r="AI291"/>
  <c r="AG299"/>
  <c r="AI299"/>
  <c r="R293"/>
  <c r="X293" s="1"/>
  <c r="AD293" s="1"/>
  <c r="R300"/>
  <c r="X300" s="1"/>
  <c r="AD300" s="1"/>
  <c r="Q308"/>
  <c r="R292"/>
  <c r="X292" s="1"/>
  <c r="AD292" s="1"/>
  <c r="R294"/>
  <c r="X294" s="1"/>
  <c r="AD294" s="1"/>
  <c r="R295"/>
  <c r="X295" s="1"/>
  <c r="AD295" s="1"/>
  <c r="R298"/>
  <c r="X298" s="1"/>
  <c r="AD298" s="1"/>
  <c r="R296"/>
  <c r="X296" s="1"/>
  <c r="AD296" s="1"/>
  <c r="R302"/>
  <c r="X302" s="1"/>
  <c r="M308"/>
  <c r="R301"/>
  <c r="X301" s="1"/>
  <c r="AD301" s="1"/>
  <c r="R297"/>
  <c r="X297" s="1"/>
  <c r="AD297" s="1"/>
  <c r="BM235" l="1"/>
  <c r="BM240" s="1"/>
  <c r="BR233"/>
  <c r="BR85"/>
  <c r="BR263"/>
  <c r="BR265" s="1"/>
  <c r="BV195"/>
  <c r="BV101"/>
  <c r="BV85"/>
  <c r="BV43"/>
  <c r="BV24"/>
  <c r="BV26" s="1"/>
  <c r="BM265"/>
  <c r="BV248"/>
  <c r="BV262" s="1"/>
  <c r="BV174"/>
  <c r="BV139"/>
  <c r="BV187"/>
  <c r="BV146"/>
  <c r="BV269"/>
  <c r="BV271" s="1"/>
  <c r="BV107"/>
  <c r="BV205"/>
  <c r="BE262"/>
  <c r="BM185"/>
  <c r="BR168"/>
  <c r="BR24"/>
  <c r="BR26" s="1"/>
  <c r="BR160"/>
  <c r="BV160"/>
  <c r="BR33"/>
  <c r="BR13"/>
  <c r="BV13"/>
  <c r="BR75"/>
  <c r="BR62"/>
  <c r="BR125"/>
  <c r="BR221"/>
  <c r="BR195"/>
  <c r="BR65"/>
  <c r="BR134"/>
  <c r="BR271"/>
  <c r="BR98"/>
  <c r="BR184"/>
  <c r="BR52"/>
  <c r="BR93"/>
  <c r="BR113"/>
  <c r="BR213"/>
  <c r="BR217"/>
  <c r="BR164"/>
  <c r="BR101"/>
  <c r="BR262"/>
  <c r="BR117"/>
  <c r="BR36"/>
  <c r="AR310"/>
  <c r="BM26"/>
  <c r="BM135"/>
  <c r="BM223"/>
  <c r="AZ89"/>
  <c r="AZ135"/>
  <c r="AZ185"/>
  <c r="AZ223"/>
  <c r="BE185"/>
  <c r="BE52"/>
  <c r="BE213"/>
  <c r="BE195"/>
  <c r="BE113"/>
  <c r="BE217"/>
  <c r="BE98"/>
  <c r="BE117"/>
  <c r="BE221"/>
  <c r="BE36"/>
  <c r="BE134"/>
  <c r="BE93"/>
  <c r="BE101"/>
  <c r="AU301"/>
  <c r="AU298"/>
  <c r="AU296"/>
  <c r="AU292"/>
  <c r="AU294"/>
  <c r="AU293"/>
  <c r="AU300"/>
  <c r="AU295"/>
  <c r="AU297"/>
  <c r="AQ299"/>
  <c r="AY299" s="1"/>
  <c r="BL299" s="1"/>
  <c r="AQ291"/>
  <c r="AY291" s="1"/>
  <c r="BL291" s="1"/>
  <c r="AM297"/>
  <c r="AC297"/>
  <c r="AM296"/>
  <c r="AC296"/>
  <c r="AM292"/>
  <c r="AC292"/>
  <c r="AM294"/>
  <c r="AC294"/>
  <c r="AM293"/>
  <c r="AC293"/>
  <c r="AM295"/>
  <c r="AC295"/>
  <c r="AM300"/>
  <c r="AC300"/>
  <c r="AM301"/>
  <c r="AC301"/>
  <c r="AM298"/>
  <c r="AC298"/>
  <c r="X308"/>
  <c r="AG301"/>
  <c r="AI301"/>
  <c r="AG298"/>
  <c r="AI298"/>
  <c r="AG297"/>
  <c r="AI297"/>
  <c r="AG296"/>
  <c r="AI296"/>
  <c r="AG292"/>
  <c r="AI292"/>
  <c r="AG294"/>
  <c r="AI294"/>
  <c r="AG293"/>
  <c r="AI293"/>
  <c r="AG295"/>
  <c r="AI295"/>
  <c r="AG300"/>
  <c r="AI300"/>
  <c r="AD302"/>
  <c r="R308"/>
  <c r="Q289"/>
  <c r="M289"/>
  <c r="BV233" l="1"/>
  <c r="BV235" s="1"/>
  <c r="BV240" s="1"/>
  <c r="BR235"/>
  <c r="BR240" s="1"/>
  <c r="BR185"/>
  <c r="BV164"/>
  <c r="BV213"/>
  <c r="BV184"/>
  <c r="BV221"/>
  <c r="BQ299"/>
  <c r="BV117"/>
  <c r="BV217"/>
  <c r="BQ291"/>
  <c r="BV134"/>
  <c r="BV168"/>
  <c r="BR135"/>
  <c r="BR223"/>
  <c r="BM89"/>
  <c r="AZ310"/>
  <c r="BE89"/>
  <c r="BE135"/>
  <c r="BE223"/>
  <c r="AU302"/>
  <c r="AU308" s="1"/>
  <c r="AQ298"/>
  <c r="AY298" s="1"/>
  <c r="BL298" s="1"/>
  <c r="AQ300"/>
  <c r="AY300" s="1"/>
  <c r="BL300" s="1"/>
  <c r="AQ293"/>
  <c r="AY293" s="1"/>
  <c r="BL293" s="1"/>
  <c r="AQ292"/>
  <c r="AY292" s="1"/>
  <c r="BL292" s="1"/>
  <c r="AQ297"/>
  <c r="AY297" s="1"/>
  <c r="BL297" s="1"/>
  <c r="AQ301"/>
  <c r="AY301" s="1"/>
  <c r="BL301" s="1"/>
  <c r="AQ295"/>
  <c r="AY295" s="1"/>
  <c r="BL295" s="1"/>
  <c r="AQ296"/>
  <c r="AY296" s="1"/>
  <c r="BL296" s="1"/>
  <c r="AQ294"/>
  <c r="AY294" s="1"/>
  <c r="BL294" s="1"/>
  <c r="AI302"/>
  <c r="AI308" s="1"/>
  <c r="AM302"/>
  <c r="AM308" s="1"/>
  <c r="AC302"/>
  <c r="AD308"/>
  <c r="AG302"/>
  <c r="AG308" s="1"/>
  <c r="R289"/>
  <c r="X289" s="1"/>
  <c r="X290" s="1"/>
  <c r="Q287"/>
  <c r="M287"/>
  <c r="BV185" l="1"/>
  <c r="BV223"/>
  <c r="BV135"/>
  <c r="BQ300"/>
  <c r="BQ295"/>
  <c r="BQ293"/>
  <c r="BQ296"/>
  <c r="BQ292"/>
  <c r="BQ301"/>
  <c r="BQ294"/>
  <c r="BQ297"/>
  <c r="BQ298"/>
  <c r="BU298" s="1"/>
  <c r="BM310"/>
  <c r="BE310"/>
  <c r="AC308"/>
  <c r="AQ302"/>
  <c r="R287"/>
  <c r="X287" s="1"/>
  <c r="AD289"/>
  <c r="Q272"/>
  <c r="M272"/>
  <c r="M270"/>
  <c r="Q270"/>
  <c r="Q268"/>
  <c r="Q267"/>
  <c r="M268"/>
  <c r="M267"/>
  <c r="BU297" l="1"/>
  <c r="BU295"/>
  <c r="AY302"/>
  <c r="AY308" s="1"/>
  <c r="AQ308"/>
  <c r="AU289"/>
  <c r="AU290" s="1"/>
  <c r="AI289"/>
  <c r="AI290" s="1"/>
  <c r="AM289"/>
  <c r="AC289"/>
  <c r="R268"/>
  <c r="X268" s="1"/>
  <c r="AD268" s="1"/>
  <c r="R267"/>
  <c r="X267" s="1"/>
  <c r="AD290"/>
  <c r="AG289"/>
  <c r="AG290" s="1"/>
  <c r="R272"/>
  <c r="X272" s="1"/>
  <c r="X286" s="1"/>
  <c r="X288" s="1"/>
  <c r="R270"/>
  <c r="X270" s="1"/>
  <c r="AD270" s="1"/>
  <c r="BL302" l="1"/>
  <c r="AU268"/>
  <c r="AU270"/>
  <c r="AC290"/>
  <c r="AQ289"/>
  <c r="AY289" s="1"/>
  <c r="AM290"/>
  <c r="AM270"/>
  <c r="AC270"/>
  <c r="AD267"/>
  <c r="X269"/>
  <c r="AG268"/>
  <c r="AM268"/>
  <c r="AC268"/>
  <c r="AI268"/>
  <c r="AG270"/>
  <c r="AI270"/>
  <c r="AD269"/>
  <c r="Q266"/>
  <c r="M266"/>
  <c r="Q264"/>
  <c r="M264"/>
  <c r="Q263"/>
  <c r="M263"/>
  <c r="BL308" l="1"/>
  <c r="BQ302"/>
  <c r="AY290"/>
  <c r="BL289"/>
  <c r="AU267"/>
  <c r="AU269" s="1"/>
  <c r="AC269"/>
  <c r="AG267"/>
  <c r="AG269" s="1"/>
  <c r="AQ290"/>
  <c r="AQ268"/>
  <c r="AY268" s="1"/>
  <c r="BL268" s="1"/>
  <c r="AQ270"/>
  <c r="AY270" s="1"/>
  <c r="BL270" s="1"/>
  <c r="AI267"/>
  <c r="AI269" s="1"/>
  <c r="AM267"/>
  <c r="AC267"/>
  <c r="AI286"/>
  <c r="AI288" s="1"/>
  <c r="AC272"/>
  <c r="AD286"/>
  <c r="AG286"/>
  <c r="AG288" s="1"/>
  <c r="R266"/>
  <c r="X266" s="1"/>
  <c r="X271" s="1"/>
  <c r="R264"/>
  <c r="X264" s="1"/>
  <c r="AD264" s="1"/>
  <c r="R263"/>
  <c r="X263" s="1"/>
  <c r="BQ268" l="1"/>
  <c r="BU268" s="1"/>
  <c r="BQ270"/>
  <c r="BU270" s="1"/>
  <c r="BQ308"/>
  <c r="BU302"/>
  <c r="BL290"/>
  <c r="BQ289"/>
  <c r="AU264"/>
  <c r="AQ267"/>
  <c r="AY267" s="1"/>
  <c r="X265"/>
  <c r="AQ272"/>
  <c r="AY272" s="1"/>
  <c r="AD288"/>
  <c r="AC286"/>
  <c r="AM286"/>
  <c r="AM288" s="1"/>
  <c r="AM269"/>
  <c r="AM264"/>
  <c r="AC264"/>
  <c r="AG264"/>
  <c r="AI264"/>
  <c r="AD263"/>
  <c r="AD266"/>
  <c r="Q261"/>
  <c r="M261"/>
  <c r="Q259"/>
  <c r="Q258"/>
  <c r="Q257"/>
  <c r="M259"/>
  <c r="M258"/>
  <c r="M257"/>
  <c r="Q255"/>
  <c r="Q254"/>
  <c r="M255"/>
  <c r="M254"/>
  <c r="BU308" l="1"/>
  <c r="BQ290"/>
  <c r="AY269"/>
  <c r="BL267"/>
  <c r="AY286"/>
  <c r="AY288" s="1"/>
  <c r="BL272"/>
  <c r="AU266"/>
  <c r="AU271" s="1"/>
  <c r="AQ269"/>
  <c r="AU263"/>
  <c r="AU265" s="1"/>
  <c r="AC288"/>
  <c r="AQ286"/>
  <c r="AQ264"/>
  <c r="AY264" s="1"/>
  <c r="BL264" s="1"/>
  <c r="AI263"/>
  <c r="AI265" s="1"/>
  <c r="AM263"/>
  <c r="AM265" s="1"/>
  <c r="AC263"/>
  <c r="AI266"/>
  <c r="AI271" s="1"/>
  <c r="AM266"/>
  <c r="AC266"/>
  <c r="AD271"/>
  <c r="AG266"/>
  <c r="AG271" s="1"/>
  <c r="AD265"/>
  <c r="AG263"/>
  <c r="AG265" s="1"/>
  <c r="R261"/>
  <c r="X261" s="1"/>
  <c r="R257"/>
  <c r="X257" s="1"/>
  <c r="R259"/>
  <c r="X259" s="1"/>
  <c r="AD259" s="1"/>
  <c r="R258"/>
  <c r="X258" s="1"/>
  <c r="AD258" s="1"/>
  <c r="R254"/>
  <c r="X254" s="1"/>
  <c r="R255"/>
  <c r="X255" s="1"/>
  <c r="AD255" s="1"/>
  <c r="Q252"/>
  <c r="Q251"/>
  <c r="Q250"/>
  <c r="Q249"/>
  <c r="M252"/>
  <c r="M251"/>
  <c r="M250"/>
  <c r="M249"/>
  <c r="Q247"/>
  <c r="Q246"/>
  <c r="Q245"/>
  <c r="Q244"/>
  <c r="Q243"/>
  <c r="Q242"/>
  <c r="Q241"/>
  <c r="M243"/>
  <c r="M244"/>
  <c r="M245"/>
  <c r="M246"/>
  <c r="M247"/>
  <c r="M242"/>
  <c r="M241"/>
  <c r="Q239"/>
  <c r="M239"/>
  <c r="Q234"/>
  <c r="Q233"/>
  <c r="M234"/>
  <c r="M233"/>
  <c r="Q237"/>
  <c r="Q236"/>
  <c r="M237"/>
  <c r="M236"/>
  <c r="Q230"/>
  <c r="Q231"/>
  <c r="Q232"/>
  <c r="M230"/>
  <c r="M231"/>
  <c r="M232"/>
  <c r="Q229"/>
  <c r="M229"/>
  <c r="Q227"/>
  <c r="M227"/>
  <c r="Q226"/>
  <c r="M226"/>
  <c r="Q235" l="1"/>
  <c r="M235"/>
  <c r="BQ264"/>
  <c r="BL286"/>
  <c r="BQ272"/>
  <c r="BL269"/>
  <c r="BQ267"/>
  <c r="BU267" s="1"/>
  <c r="AU255"/>
  <c r="AU259"/>
  <c r="AU258"/>
  <c r="AC265"/>
  <c r="AC271"/>
  <c r="AQ288"/>
  <c r="AQ266"/>
  <c r="AY266" s="1"/>
  <c r="AQ263"/>
  <c r="AM259"/>
  <c r="AC259"/>
  <c r="AM271"/>
  <c r="AM258"/>
  <c r="AC258"/>
  <c r="X256"/>
  <c r="AM255"/>
  <c r="AC255"/>
  <c r="X260"/>
  <c r="R245"/>
  <c r="X245" s="1"/>
  <c r="AD245" s="1"/>
  <c r="R252"/>
  <c r="X252" s="1"/>
  <c r="AD252" s="1"/>
  <c r="AG258"/>
  <c r="AI258"/>
  <c r="AG259"/>
  <c r="AI259"/>
  <c r="AG255"/>
  <c r="AI255"/>
  <c r="R237"/>
  <c r="X237" s="1"/>
  <c r="AD237" s="1"/>
  <c r="AD261"/>
  <c r="AD254"/>
  <c r="AD257"/>
  <c r="R249"/>
  <c r="X249" s="1"/>
  <c r="R251"/>
  <c r="X251" s="1"/>
  <c r="AD251" s="1"/>
  <c r="R250"/>
  <c r="X250" s="1"/>
  <c r="AD250" s="1"/>
  <c r="R247"/>
  <c r="X247" s="1"/>
  <c r="AD247" s="1"/>
  <c r="R246"/>
  <c r="X246" s="1"/>
  <c r="AD246" s="1"/>
  <c r="R244"/>
  <c r="X244" s="1"/>
  <c r="AD244" s="1"/>
  <c r="R241"/>
  <c r="X241" s="1"/>
  <c r="R243"/>
  <c r="X243" s="1"/>
  <c r="AD243" s="1"/>
  <c r="R242"/>
  <c r="X242" s="1"/>
  <c r="AD242" s="1"/>
  <c r="R239"/>
  <c r="X239" s="1"/>
  <c r="R236"/>
  <c r="X236" s="1"/>
  <c r="R234"/>
  <c r="X234" s="1"/>
  <c r="AD234" s="1"/>
  <c r="R233"/>
  <c r="R232"/>
  <c r="X232" s="1"/>
  <c r="AD232" s="1"/>
  <c r="R231"/>
  <c r="X231" s="1"/>
  <c r="AD231" s="1"/>
  <c r="R230"/>
  <c r="X230" s="1"/>
  <c r="AD230" s="1"/>
  <c r="R229"/>
  <c r="X229" s="1"/>
  <c r="AD229" s="1"/>
  <c r="R227"/>
  <c r="X227" s="1"/>
  <c r="AD227" s="1"/>
  <c r="R226"/>
  <c r="X226" s="1"/>
  <c r="X233" l="1"/>
  <c r="X235" s="1"/>
  <c r="R235"/>
  <c r="BQ269"/>
  <c r="BQ286"/>
  <c r="BU272"/>
  <c r="BL288"/>
  <c r="AY263"/>
  <c r="AY265" s="1"/>
  <c r="AQ265"/>
  <c r="AY271"/>
  <c r="BL266"/>
  <c r="AU227"/>
  <c r="AU251"/>
  <c r="AU250"/>
  <c r="AU230"/>
  <c r="AU234"/>
  <c r="AU243"/>
  <c r="AU257"/>
  <c r="AU260" s="1"/>
  <c r="AU229"/>
  <c r="AU242"/>
  <c r="AU246"/>
  <c r="AU237"/>
  <c r="AU232"/>
  <c r="AU261"/>
  <c r="AU231"/>
  <c r="AU254"/>
  <c r="AU256" s="1"/>
  <c r="AU244"/>
  <c r="AU252"/>
  <c r="AU247"/>
  <c r="AI245"/>
  <c r="AU245"/>
  <c r="X238"/>
  <c r="AQ258"/>
  <c r="AY258" s="1"/>
  <c r="BL258" s="1"/>
  <c r="AQ271"/>
  <c r="AQ259"/>
  <c r="AY259" s="1"/>
  <c r="BL259" s="1"/>
  <c r="AQ255"/>
  <c r="AY255" s="1"/>
  <c r="BL255" s="1"/>
  <c r="AM227"/>
  <c r="AC227"/>
  <c r="AM251"/>
  <c r="AC251"/>
  <c r="AM261"/>
  <c r="AC261"/>
  <c r="AM231"/>
  <c r="AC231"/>
  <c r="AM250"/>
  <c r="AC250"/>
  <c r="AI254"/>
  <c r="AI256" s="1"/>
  <c r="AM254"/>
  <c r="AC254"/>
  <c r="AM245"/>
  <c r="AC245"/>
  <c r="AM234"/>
  <c r="AC234"/>
  <c r="AM243"/>
  <c r="AC243"/>
  <c r="AM247"/>
  <c r="AC247"/>
  <c r="AI257"/>
  <c r="AI260" s="1"/>
  <c r="AM257"/>
  <c r="AC257"/>
  <c r="AG252"/>
  <c r="AM252"/>
  <c r="AC252"/>
  <c r="AM229"/>
  <c r="AC229"/>
  <c r="AM242"/>
  <c r="AC242"/>
  <c r="AM246"/>
  <c r="AC246"/>
  <c r="AM237"/>
  <c r="AC237"/>
  <c r="X228"/>
  <c r="X248"/>
  <c r="X253"/>
  <c r="AG245"/>
  <c r="AM232"/>
  <c r="AC232"/>
  <c r="AM244"/>
  <c r="AC244"/>
  <c r="AM230"/>
  <c r="AC230"/>
  <c r="AI252"/>
  <c r="AG229"/>
  <c r="AI229"/>
  <c r="AG246"/>
  <c r="AI246"/>
  <c r="AG227"/>
  <c r="AI227"/>
  <c r="AG232"/>
  <c r="AI232"/>
  <c r="AG244"/>
  <c r="AI244"/>
  <c r="AG251"/>
  <c r="AI251"/>
  <c r="AG242"/>
  <c r="AI242"/>
  <c r="AG231"/>
  <c r="AI231"/>
  <c r="AG250"/>
  <c r="AI250"/>
  <c r="AG237"/>
  <c r="AI237"/>
  <c r="AG230"/>
  <c r="AI230"/>
  <c r="AG234"/>
  <c r="AI234"/>
  <c r="AG243"/>
  <c r="AI243"/>
  <c r="AG247"/>
  <c r="AI247"/>
  <c r="AG261"/>
  <c r="AI261"/>
  <c r="AD260"/>
  <c r="AG257"/>
  <c r="AG260" s="1"/>
  <c r="AD256"/>
  <c r="AG254"/>
  <c r="AG256" s="1"/>
  <c r="AD226"/>
  <c r="AD236"/>
  <c r="AD241"/>
  <c r="AD233"/>
  <c r="AD235" s="1"/>
  <c r="AC235" s="1"/>
  <c r="AD249"/>
  <c r="AD239"/>
  <c r="Q222"/>
  <c r="M222"/>
  <c r="Q220"/>
  <c r="Q219"/>
  <c r="Q218"/>
  <c r="M220"/>
  <c r="M219"/>
  <c r="M218"/>
  <c r="Q216"/>
  <c r="Q215"/>
  <c r="M216"/>
  <c r="M215"/>
  <c r="Q214"/>
  <c r="M214"/>
  <c r="Q212"/>
  <c r="Q211"/>
  <c r="Q210"/>
  <c r="M212"/>
  <c r="M211"/>
  <c r="M210"/>
  <c r="Q208"/>
  <c r="Q207"/>
  <c r="M208"/>
  <c r="M207"/>
  <c r="Q206"/>
  <c r="M206"/>
  <c r="Q204"/>
  <c r="Q203"/>
  <c r="Q202"/>
  <c r="Q201"/>
  <c r="Q200"/>
  <c r="Q199"/>
  <c r="M201"/>
  <c r="M202"/>
  <c r="M203"/>
  <c r="M204"/>
  <c r="M200"/>
  <c r="M199"/>
  <c r="Q197"/>
  <c r="Q198"/>
  <c r="M197"/>
  <c r="M198"/>
  <c r="Q196"/>
  <c r="M196"/>
  <c r="BU286" l="1"/>
  <c r="BU288" s="1"/>
  <c r="BQ259"/>
  <c r="BU259" s="1"/>
  <c r="BQ258"/>
  <c r="BU258" s="1"/>
  <c r="BQ255"/>
  <c r="BU255" s="1"/>
  <c r="BU269"/>
  <c r="BL263"/>
  <c r="BQ288"/>
  <c r="BL271"/>
  <c r="BQ266"/>
  <c r="X262"/>
  <c r="AQ252"/>
  <c r="AY252" s="1"/>
  <c r="BL252" s="1"/>
  <c r="AU241"/>
  <c r="AU248" s="1"/>
  <c r="AU233"/>
  <c r="AU235" s="1"/>
  <c r="AU226"/>
  <c r="AU228" s="1"/>
  <c r="AU239"/>
  <c r="AU236"/>
  <c r="AU238" s="1"/>
  <c r="AU249"/>
  <c r="AU253" s="1"/>
  <c r="AC260"/>
  <c r="AC256"/>
  <c r="AQ229"/>
  <c r="AY229" s="1"/>
  <c r="BL229" s="1"/>
  <c r="R201"/>
  <c r="X201" s="1"/>
  <c r="AD201" s="1"/>
  <c r="AQ230"/>
  <c r="AY230" s="1"/>
  <c r="BL230" s="1"/>
  <c r="AQ232"/>
  <c r="AY232" s="1"/>
  <c r="BL232" s="1"/>
  <c r="X240"/>
  <c r="AQ257"/>
  <c r="AY257" s="1"/>
  <c r="AQ250"/>
  <c r="AY250" s="1"/>
  <c r="BL250" s="1"/>
  <c r="AQ246"/>
  <c r="AY246" s="1"/>
  <c r="BL246" s="1"/>
  <c r="AQ251"/>
  <c r="AY251" s="1"/>
  <c r="BL251" s="1"/>
  <c r="AQ247"/>
  <c r="AY247" s="1"/>
  <c r="BL247" s="1"/>
  <c r="AQ234"/>
  <c r="AY234" s="1"/>
  <c r="BL234" s="1"/>
  <c r="AQ231"/>
  <c r="AY231" s="1"/>
  <c r="BL231" s="1"/>
  <c r="AQ244"/>
  <c r="AY244" s="1"/>
  <c r="BL244" s="1"/>
  <c r="AQ245"/>
  <c r="AY245" s="1"/>
  <c r="BL245" s="1"/>
  <c r="AQ237"/>
  <c r="AY237" s="1"/>
  <c r="BL237" s="1"/>
  <c r="AQ242"/>
  <c r="AY242" s="1"/>
  <c r="BL242" s="1"/>
  <c r="AQ243"/>
  <c r="AY243" s="1"/>
  <c r="BL243" s="1"/>
  <c r="AQ254"/>
  <c r="AY254" s="1"/>
  <c r="AQ261"/>
  <c r="AY261" s="1"/>
  <c r="BL261" s="1"/>
  <c r="AQ227"/>
  <c r="AY227" s="1"/>
  <c r="BL227" s="1"/>
  <c r="AI241"/>
  <c r="AI248" s="1"/>
  <c r="AM241"/>
  <c r="AC241"/>
  <c r="AI249"/>
  <c r="AI253" s="1"/>
  <c r="AM249"/>
  <c r="AC249"/>
  <c r="AI239"/>
  <c r="AM239"/>
  <c r="AC239"/>
  <c r="AI236"/>
  <c r="AI238" s="1"/>
  <c r="AM236"/>
  <c r="AC236"/>
  <c r="AM260"/>
  <c r="AM256"/>
  <c r="R202"/>
  <c r="X202" s="1"/>
  <c r="AD202" s="1"/>
  <c r="R216"/>
  <c r="X216" s="1"/>
  <c r="AD216" s="1"/>
  <c r="AI233"/>
  <c r="AI235" s="1"/>
  <c r="AM233"/>
  <c r="AM235" s="1"/>
  <c r="AC233"/>
  <c r="AI226"/>
  <c r="AI228" s="1"/>
  <c r="AM226"/>
  <c r="AC226"/>
  <c r="AG239"/>
  <c r="AG233"/>
  <c r="AG235" s="1"/>
  <c r="AD238"/>
  <c r="AG236"/>
  <c r="AG238" s="1"/>
  <c r="AD253"/>
  <c r="AG249"/>
  <c r="AG253" s="1"/>
  <c r="AD248"/>
  <c r="AG241"/>
  <c r="AG248" s="1"/>
  <c r="AD228"/>
  <c r="AG226"/>
  <c r="AG228" s="1"/>
  <c r="R196"/>
  <c r="X196" s="1"/>
  <c r="AD196" s="1"/>
  <c r="R220"/>
  <c r="X220" s="1"/>
  <c r="AD220" s="1"/>
  <c r="R215"/>
  <c r="X215" s="1"/>
  <c r="R222"/>
  <c r="X222" s="1"/>
  <c r="R218"/>
  <c r="X218" s="1"/>
  <c r="R219"/>
  <c r="X219" s="1"/>
  <c r="AD219" s="1"/>
  <c r="R214"/>
  <c r="X214" s="1"/>
  <c r="AD214" s="1"/>
  <c r="R210"/>
  <c r="X210" s="1"/>
  <c r="R211"/>
  <c r="X211" s="1"/>
  <c r="AD211" s="1"/>
  <c r="R212"/>
  <c r="X212" s="1"/>
  <c r="AD212" s="1"/>
  <c r="R208"/>
  <c r="X208" s="1"/>
  <c r="AD208" s="1"/>
  <c r="R207"/>
  <c r="X207" s="1"/>
  <c r="R206"/>
  <c r="X206" s="1"/>
  <c r="AD206" s="1"/>
  <c r="R204"/>
  <c r="X204" s="1"/>
  <c r="AD204" s="1"/>
  <c r="R203"/>
  <c r="X203" s="1"/>
  <c r="AD203" s="1"/>
  <c r="R200"/>
  <c r="X200" s="1"/>
  <c r="AD200" s="1"/>
  <c r="R199"/>
  <c r="X199" s="1"/>
  <c r="R198"/>
  <c r="X198" s="1"/>
  <c r="AD198" s="1"/>
  <c r="R197"/>
  <c r="X197" s="1"/>
  <c r="AD197" s="1"/>
  <c r="BQ263" l="1"/>
  <c r="BQ265" s="1"/>
  <c r="BQ251"/>
  <c r="BQ245"/>
  <c r="BQ247"/>
  <c r="BU247" s="1"/>
  <c r="BL265"/>
  <c r="BQ244"/>
  <c r="BQ261"/>
  <c r="BQ237"/>
  <c r="BU237" s="1"/>
  <c r="BQ234"/>
  <c r="BU234" s="1"/>
  <c r="BQ250"/>
  <c r="BQ230"/>
  <c r="BQ243"/>
  <c r="BQ229"/>
  <c r="BQ227"/>
  <c r="BU227" s="1"/>
  <c r="BQ242"/>
  <c r="BQ231"/>
  <c r="BQ246"/>
  <c r="BU246" s="1"/>
  <c r="BQ232"/>
  <c r="BU232" s="1"/>
  <c r="BQ252"/>
  <c r="BU252" s="1"/>
  <c r="BQ271"/>
  <c r="AU262"/>
  <c r="AU240"/>
  <c r="AG240"/>
  <c r="AI240"/>
  <c r="AY256"/>
  <c r="BL254"/>
  <c r="AY260"/>
  <c r="BL257"/>
  <c r="AI262"/>
  <c r="AU208"/>
  <c r="AU211"/>
  <c r="AU198"/>
  <c r="AU204"/>
  <c r="AU212"/>
  <c r="AU219"/>
  <c r="AU220"/>
  <c r="AU197"/>
  <c r="AU203"/>
  <c r="AU200"/>
  <c r="AM201"/>
  <c r="AU214"/>
  <c r="AU206"/>
  <c r="AU196"/>
  <c r="AC248"/>
  <c r="AC238"/>
  <c r="AI216"/>
  <c r="AU216"/>
  <c r="AI201"/>
  <c r="AU201"/>
  <c r="AC228"/>
  <c r="AC253"/>
  <c r="AI202"/>
  <c r="AU202"/>
  <c r="AQ260"/>
  <c r="AQ236"/>
  <c r="AY236" s="1"/>
  <c r="AQ256"/>
  <c r="AG201"/>
  <c r="AC201"/>
  <c r="X217"/>
  <c r="AQ233"/>
  <c r="AQ241"/>
  <c r="AY241" s="1"/>
  <c r="AG216"/>
  <c r="AQ239"/>
  <c r="AQ226"/>
  <c r="AY226" s="1"/>
  <c r="AQ249"/>
  <c r="AY249" s="1"/>
  <c r="AM198"/>
  <c r="AC198"/>
  <c r="AM212"/>
  <c r="AC212"/>
  <c r="AM220"/>
  <c r="AC220"/>
  <c r="AM197"/>
  <c r="AC197"/>
  <c r="AM203"/>
  <c r="AC203"/>
  <c r="AM214"/>
  <c r="AC214"/>
  <c r="AM238"/>
  <c r="AM253"/>
  <c r="AM200"/>
  <c r="AC200"/>
  <c r="AM228"/>
  <c r="AM206"/>
  <c r="AC206"/>
  <c r="AM211"/>
  <c r="AC211"/>
  <c r="AM196"/>
  <c r="AC196"/>
  <c r="AM216"/>
  <c r="AC216"/>
  <c r="X209"/>
  <c r="X213"/>
  <c r="AG202"/>
  <c r="X205"/>
  <c r="X221"/>
  <c r="AM204"/>
  <c r="AC204"/>
  <c r="AM219"/>
  <c r="AC219"/>
  <c r="AM202"/>
  <c r="AC202"/>
  <c r="AM208"/>
  <c r="AC208"/>
  <c r="AM248"/>
  <c r="AG262"/>
  <c r="AG203"/>
  <c r="AI203"/>
  <c r="AG214"/>
  <c r="AI214"/>
  <c r="AG206"/>
  <c r="AI206"/>
  <c r="AG211"/>
  <c r="AI211"/>
  <c r="AG196"/>
  <c r="AI196"/>
  <c r="AG198"/>
  <c r="AI198"/>
  <c r="AG204"/>
  <c r="AI204"/>
  <c r="AG212"/>
  <c r="AI212"/>
  <c r="AG219"/>
  <c r="AI219"/>
  <c r="AG220"/>
  <c r="AI220"/>
  <c r="AG197"/>
  <c r="AI197"/>
  <c r="AG208"/>
  <c r="AI208"/>
  <c r="AG200"/>
  <c r="AI200"/>
  <c r="AD240"/>
  <c r="AD262"/>
  <c r="AD207"/>
  <c r="AD210"/>
  <c r="AD222"/>
  <c r="AD199"/>
  <c r="AD218"/>
  <c r="AD215"/>
  <c r="J195"/>
  <c r="Q194"/>
  <c r="Q193"/>
  <c r="M194"/>
  <c r="M193"/>
  <c r="Q192"/>
  <c r="M192"/>
  <c r="Q190"/>
  <c r="Q189"/>
  <c r="Q188"/>
  <c r="M190"/>
  <c r="M189"/>
  <c r="M188"/>
  <c r="Q186"/>
  <c r="M186"/>
  <c r="AY233" l="1"/>
  <c r="AY235" s="1"/>
  <c r="AQ235"/>
  <c r="BU244"/>
  <c r="BU251"/>
  <c r="BU245"/>
  <c r="BU242"/>
  <c r="BU243"/>
  <c r="BU271"/>
  <c r="BL260"/>
  <c r="BQ257"/>
  <c r="BL256"/>
  <c r="BQ254"/>
  <c r="AM262"/>
  <c r="AM240"/>
  <c r="AY239"/>
  <c r="AY253"/>
  <c r="BL249"/>
  <c r="AY248"/>
  <c r="BL241"/>
  <c r="AY228"/>
  <c r="BL226"/>
  <c r="BL233"/>
  <c r="BL235" s="1"/>
  <c r="AY238"/>
  <c r="BL236"/>
  <c r="AQ201"/>
  <c r="AY201" s="1"/>
  <c r="BL201" s="1"/>
  <c r="AU210"/>
  <c r="AU213" s="1"/>
  <c r="AU222"/>
  <c r="AU199"/>
  <c r="AU205" s="1"/>
  <c r="AU207"/>
  <c r="AU209" s="1"/>
  <c r="AU218"/>
  <c r="AU221" s="1"/>
  <c r="AU215"/>
  <c r="AU217" s="1"/>
  <c r="AC240"/>
  <c r="AC262"/>
  <c r="AQ253"/>
  <c r="AQ238"/>
  <c r="AQ228"/>
  <c r="AQ248"/>
  <c r="AQ214"/>
  <c r="AY214" s="1"/>
  <c r="BL214" s="1"/>
  <c r="AQ204"/>
  <c r="AY204" s="1"/>
  <c r="BL204" s="1"/>
  <c r="AQ208"/>
  <c r="AY208" s="1"/>
  <c r="BL208" s="1"/>
  <c r="AQ219"/>
  <c r="AY219" s="1"/>
  <c r="BL219" s="1"/>
  <c r="AQ211"/>
  <c r="AY211" s="1"/>
  <c r="BL211" s="1"/>
  <c r="AQ212"/>
  <c r="AY212" s="1"/>
  <c r="BL212" s="1"/>
  <c r="AQ216"/>
  <c r="AY216" s="1"/>
  <c r="BL216" s="1"/>
  <c r="AQ197"/>
  <c r="AY197" s="1"/>
  <c r="BL197" s="1"/>
  <c r="AQ202"/>
  <c r="AY202" s="1"/>
  <c r="BL202" s="1"/>
  <c r="AQ206"/>
  <c r="AY206" s="1"/>
  <c r="BL206" s="1"/>
  <c r="AQ196"/>
  <c r="AY196" s="1"/>
  <c r="BL196" s="1"/>
  <c r="AQ200"/>
  <c r="AY200" s="1"/>
  <c r="BL200" s="1"/>
  <c r="AQ220"/>
  <c r="AY220" s="1"/>
  <c r="BL220" s="1"/>
  <c r="AQ198"/>
  <c r="AY198" s="1"/>
  <c r="BL198" s="1"/>
  <c r="AQ203"/>
  <c r="AY203" s="1"/>
  <c r="BL203" s="1"/>
  <c r="AI215"/>
  <c r="AI217" s="1"/>
  <c r="AM215"/>
  <c r="AC215"/>
  <c r="AI210"/>
  <c r="AI213" s="1"/>
  <c r="AM210"/>
  <c r="AC210"/>
  <c r="AM222"/>
  <c r="AC222"/>
  <c r="AI199"/>
  <c r="AI205" s="1"/>
  <c r="AM199"/>
  <c r="AC199"/>
  <c r="AI218"/>
  <c r="AI221" s="1"/>
  <c r="AM218"/>
  <c r="AC218"/>
  <c r="AI207"/>
  <c r="AI209" s="1"/>
  <c r="AM207"/>
  <c r="AC207"/>
  <c r="AG222"/>
  <c r="AI222"/>
  <c r="AD205"/>
  <c r="AG199"/>
  <c r="AG205" s="1"/>
  <c r="AD209"/>
  <c r="AG207"/>
  <c r="AG209" s="1"/>
  <c r="AD217"/>
  <c r="AG215"/>
  <c r="AG217" s="1"/>
  <c r="AD221"/>
  <c r="AG218"/>
  <c r="AG221" s="1"/>
  <c r="AD213"/>
  <c r="AG210"/>
  <c r="AG213" s="1"/>
  <c r="R190"/>
  <c r="X190" s="1"/>
  <c r="AD190" s="1"/>
  <c r="R186"/>
  <c r="X186" s="1"/>
  <c r="X187" s="1"/>
  <c r="R189"/>
  <c r="X189" s="1"/>
  <c r="AD189" s="1"/>
  <c r="R193"/>
  <c r="X193" s="1"/>
  <c r="R194"/>
  <c r="X194" s="1"/>
  <c r="AD194" s="1"/>
  <c r="R192"/>
  <c r="X192" s="1"/>
  <c r="AD192" s="1"/>
  <c r="R188"/>
  <c r="X188" s="1"/>
  <c r="BQ219" l="1"/>
  <c r="BQ220"/>
  <c r="BQ202"/>
  <c r="BQ211"/>
  <c r="BU211" s="1"/>
  <c r="BQ214"/>
  <c r="BQ200"/>
  <c r="BQ198"/>
  <c r="BQ206"/>
  <c r="BU206" s="1"/>
  <c r="BQ212"/>
  <c r="BU212" s="1"/>
  <c r="BQ204"/>
  <c r="BQ197"/>
  <c r="BQ203"/>
  <c r="BQ196"/>
  <c r="BQ216"/>
  <c r="BQ208"/>
  <c r="BQ201"/>
  <c r="BQ256"/>
  <c r="BU256"/>
  <c r="BQ260"/>
  <c r="BU260"/>
  <c r="BL238"/>
  <c r="BQ236"/>
  <c r="BQ233"/>
  <c r="BQ235" s="1"/>
  <c r="BL228"/>
  <c r="BQ226"/>
  <c r="BL248"/>
  <c r="BQ241"/>
  <c r="BL253"/>
  <c r="BQ249"/>
  <c r="AQ240"/>
  <c r="AQ262"/>
  <c r="AY262"/>
  <c r="BL239"/>
  <c r="AY240"/>
  <c r="AU194"/>
  <c r="AU192"/>
  <c r="AU189"/>
  <c r="AU190"/>
  <c r="AC213"/>
  <c r="AC205"/>
  <c r="AC217"/>
  <c r="AC221"/>
  <c r="AC209"/>
  <c r="AQ199"/>
  <c r="AY199" s="1"/>
  <c r="AQ210"/>
  <c r="AY210" s="1"/>
  <c r="AQ222"/>
  <c r="AQ218"/>
  <c r="AY218" s="1"/>
  <c r="AQ215"/>
  <c r="AY215" s="1"/>
  <c r="AQ207"/>
  <c r="AY207" s="1"/>
  <c r="AM194"/>
  <c r="AC194"/>
  <c r="AM192"/>
  <c r="AC192"/>
  <c r="AM189"/>
  <c r="AC189"/>
  <c r="AM213"/>
  <c r="AM217"/>
  <c r="AM209"/>
  <c r="AM221"/>
  <c r="AM205"/>
  <c r="X191"/>
  <c r="X195"/>
  <c r="AM190"/>
  <c r="AC190"/>
  <c r="AG192"/>
  <c r="AI192"/>
  <c r="AG189"/>
  <c r="AI189"/>
  <c r="AG194"/>
  <c r="AI194"/>
  <c r="AG190"/>
  <c r="AI190"/>
  <c r="AD193"/>
  <c r="AD186"/>
  <c r="AD188"/>
  <c r="Q183"/>
  <c r="Q182"/>
  <c r="Q181"/>
  <c r="M183"/>
  <c r="M182"/>
  <c r="M181"/>
  <c r="Q180"/>
  <c r="M180"/>
  <c r="Q178"/>
  <c r="Q177"/>
  <c r="M178"/>
  <c r="M177"/>
  <c r="Q176"/>
  <c r="Q175"/>
  <c r="M176"/>
  <c r="M175"/>
  <c r="Q172"/>
  <c r="Q173"/>
  <c r="M172"/>
  <c r="M173"/>
  <c r="Q171"/>
  <c r="M171"/>
  <c r="Q170"/>
  <c r="M170"/>
  <c r="Q169"/>
  <c r="M169"/>
  <c r="BU202" l="1"/>
  <c r="BU203"/>
  <c r="BU201"/>
  <c r="BU219"/>
  <c r="BU204"/>
  <c r="BU200"/>
  <c r="BU220"/>
  <c r="BL262"/>
  <c r="BU197"/>
  <c r="BQ253"/>
  <c r="BQ248"/>
  <c r="BU241"/>
  <c r="BQ228"/>
  <c r="BU233"/>
  <c r="BU235" s="1"/>
  <c r="BQ238"/>
  <c r="BU236"/>
  <c r="BL240"/>
  <c r="BQ239"/>
  <c r="AY222"/>
  <c r="AY221"/>
  <c r="BL218"/>
  <c r="AY209"/>
  <c r="BL207"/>
  <c r="AY213"/>
  <c r="BL210"/>
  <c r="AY217"/>
  <c r="BL215"/>
  <c r="AY205"/>
  <c r="BL199"/>
  <c r="AU186"/>
  <c r="AU187" s="1"/>
  <c r="AU188"/>
  <c r="AU191" s="1"/>
  <c r="AU193"/>
  <c r="AU195" s="1"/>
  <c r="AQ221"/>
  <c r="AQ217"/>
  <c r="AQ205"/>
  <c r="AQ209"/>
  <c r="AQ213"/>
  <c r="AQ194"/>
  <c r="AY194" s="1"/>
  <c r="BL194" s="1"/>
  <c r="AQ189"/>
  <c r="AY189" s="1"/>
  <c r="BL189" s="1"/>
  <c r="AQ190"/>
  <c r="AY190" s="1"/>
  <c r="BL190" s="1"/>
  <c r="AQ192"/>
  <c r="AY192" s="1"/>
  <c r="BL192" s="1"/>
  <c r="AI186"/>
  <c r="AI187" s="1"/>
  <c r="AM186"/>
  <c r="AC186"/>
  <c r="AI193"/>
  <c r="AI195" s="1"/>
  <c r="AM193"/>
  <c r="AC193"/>
  <c r="X223"/>
  <c r="AI188"/>
  <c r="AI191" s="1"/>
  <c r="AM188"/>
  <c r="AC188"/>
  <c r="AD191"/>
  <c r="AG188"/>
  <c r="AG191" s="1"/>
  <c r="AD195"/>
  <c r="AG193"/>
  <c r="AG195" s="1"/>
  <c r="AD187"/>
  <c r="AG186"/>
  <c r="AG187" s="1"/>
  <c r="R177"/>
  <c r="X177" s="1"/>
  <c r="R171"/>
  <c r="X171" s="1"/>
  <c r="R180"/>
  <c r="X180" s="1"/>
  <c r="AD180" s="1"/>
  <c r="R182"/>
  <c r="X182" s="1"/>
  <c r="AD182" s="1"/>
  <c r="R183"/>
  <c r="X183" s="1"/>
  <c r="AD183" s="1"/>
  <c r="R181"/>
  <c r="X181" s="1"/>
  <c r="R178"/>
  <c r="X178" s="1"/>
  <c r="AD178" s="1"/>
  <c r="R169"/>
  <c r="X169" s="1"/>
  <c r="AD169" s="1"/>
  <c r="R175"/>
  <c r="X175" s="1"/>
  <c r="AD175" s="1"/>
  <c r="R176"/>
  <c r="X176" s="1"/>
  <c r="AD176" s="1"/>
  <c r="R173"/>
  <c r="X173" s="1"/>
  <c r="AD173" s="1"/>
  <c r="R172"/>
  <c r="X172" s="1"/>
  <c r="AD172" s="1"/>
  <c r="R170"/>
  <c r="X170" s="1"/>
  <c r="AD170" s="1"/>
  <c r="Q167"/>
  <c r="Q166"/>
  <c r="M167"/>
  <c r="M166"/>
  <c r="Q165"/>
  <c r="M165"/>
  <c r="K164"/>
  <c r="Q163"/>
  <c r="Q162"/>
  <c r="M163"/>
  <c r="M162"/>
  <c r="Q161"/>
  <c r="M161"/>
  <c r="Q159"/>
  <c r="Q158"/>
  <c r="M159"/>
  <c r="M158"/>
  <c r="Q157"/>
  <c r="M157"/>
  <c r="Q155"/>
  <c r="Q154"/>
  <c r="Q153"/>
  <c r="Q152"/>
  <c r="Q151"/>
  <c r="Q150"/>
  <c r="Q149"/>
  <c r="Q148"/>
  <c r="Q147"/>
  <c r="M148"/>
  <c r="M149"/>
  <c r="M150"/>
  <c r="M151"/>
  <c r="M152"/>
  <c r="M153"/>
  <c r="M154"/>
  <c r="M155"/>
  <c r="M147"/>
  <c r="Q145"/>
  <c r="Q144"/>
  <c r="Q143"/>
  <c r="M145"/>
  <c r="M144"/>
  <c r="M143"/>
  <c r="Q141"/>
  <c r="Q140"/>
  <c r="M141"/>
  <c r="M140"/>
  <c r="Q138"/>
  <c r="Q137"/>
  <c r="M138"/>
  <c r="M137"/>
  <c r="Q136"/>
  <c r="M136"/>
  <c r="BQ189" l="1"/>
  <c r="BQ194"/>
  <c r="BU194" s="1"/>
  <c r="BU248"/>
  <c r="BQ190"/>
  <c r="BU238"/>
  <c r="BU228"/>
  <c r="BU253"/>
  <c r="BQ192"/>
  <c r="AU223"/>
  <c r="BQ262"/>
  <c r="BQ240"/>
  <c r="BL205"/>
  <c r="BQ199"/>
  <c r="BU199" s="1"/>
  <c r="BL217"/>
  <c r="BQ215"/>
  <c r="BU215" s="1"/>
  <c r="BL213"/>
  <c r="BQ210"/>
  <c r="BL209"/>
  <c r="BQ207"/>
  <c r="BL221"/>
  <c r="BQ218"/>
  <c r="BU218" s="1"/>
  <c r="BL222"/>
  <c r="AI223"/>
  <c r="AU178"/>
  <c r="AU172"/>
  <c r="AU169"/>
  <c r="AU182"/>
  <c r="AU170"/>
  <c r="AU175"/>
  <c r="AU183"/>
  <c r="AU176"/>
  <c r="AU173"/>
  <c r="AU180"/>
  <c r="AC187"/>
  <c r="AC191"/>
  <c r="AQ188"/>
  <c r="AY188" s="1"/>
  <c r="AC195"/>
  <c r="R141"/>
  <c r="X141" s="1"/>
  <c r="AD141" s="1"/>
  <c r="AI141" s="1"/>
  <c r="AQ186"/>
  <c r="AY186" s="1"/>
  <c r="X184"/>
  <c r="X174"/>
  <c r="AQ193"/>
  <c r="AY193" s="1"/>
  <c r="AM173"/>
  <c r="AC173"/>
  <c r="AM178"/>
  <c r="AC178"/>
  <c r="AM191"/>
  <c r="AM169"/>
  <c r="AC169"/>
  <c r="AM182"/>
  <c r="AC182"/>
  <c r="AM195"/>
  <c r="AM170"/>
  <c r="AC170"/>
  <c r="AM175"/>
  <c r="AC175"/>
  <c r="AM183"/>
  <c r="AC183"/>
  <c r="X179"/>
  <c r="AM176"/>
  <c r="AC176"/>
  <c r="AM180"/>
  <c r="AC180"/>
  <c r="AM172"/>
  <c r="AC172"/>
  <c r="AM187"/>
  <c r="R144"/>
  <c r="X144" s="1"/>
  <c r="AD144" s="1"/>
  <c r="AD223"/>
  <c r="AG173"/>
  <c r="AI173"/>
  <c r="AG172"/>
  <c r="AI172"/>
  <c r="AG169"/>
  <c r="AI169"/>
  <c r="AG182"/>
  <c r="AI182"/>
  <c r="AG176"/>
  <c r="AI176"/>
  <c r="AG178"/>
  <c r="AI178"/>
  <c r="AG180"/>
  <c r="AI180"/>
  <c r="AG170"/>
  <c r="AI170"/>
  <c r="AG175"/>
  <c r="AI175"/>
  <c r="AG183"/>
  <c r="AI183"/>
  <c r="R145"/>
  <c r="X145" s="1"/>
  <c r="AD145" s="1"/>
  <c r="R149"/>
  <c r="X149" s="1"/>
  <c r="AD149" s="1"/>
  <c r="AG223"/>
  <c r="AD177"/>
  <c r="R153"/>
  <c r="X153" s="1"/>
  <c r="AD153" s="1"/>
  <c r="R157"/>
  <c r="AD181"/>
  <c r="AD171"/>
  <c r="R147"/>
  <c r="X147" s="1"/>
  <c r="R162"/>
  <c r="X162" s="1"/>
  <c r="R155"/>
  <c r="X155" s="1"/>
  <c r="AD155" s="1"/>
  <c r="R151"/>
  <c r="X151" s="1"/>
  <c r="AD151" s="1"/>
  <c r="R154"/>
  <c r="X154" s="1"/>
  <c r="AD154" s="1"/>
  <c r="R152"/>
  <c r="X152" s="1"/>
  <c r="AD152" s="1"/>
  <c r="R163"/>
  <c r="X163" s="1"/>
  <c r="AD163" s="1"/>
  <c r="R137"/>
  <c r="X137" s="1"/>
  <c r="R150"/>
  <c r="X150" s="1"/>
  <c r="AD150" s="1"/>
  <c r="R140"/>
  <c r="X140" s="1"/>
  <c r="R166"/>
  <c r="X166" s="1"/>
  <c r="R138"/>
  <c r="X138" s="1"/>
  <c r="AD138" s="1"/>
  <c r="R167"/>
  <c r="X167" s="1"/>
  <c r="AD167" s="1"/>
  <c r="R165"/>
  <c r="X165" s="1"/>
  <c r="AD165" s="1"/>
  <c r="R161"/>
  <c r="X161" s="1"/>
  <c r="AD161" s="1"/>
  <c r="R159"/>
  <c r="X159" s="1"/>
  <c r="R158"/>
  <c r="X158" s="1"/>
  <c r="AD158" s="1"/>
  <c r="R148"/>
  <c r="X148" s="1"/>
  <c r="AD148" s="1"/>
  <c r="R143"/>
  <c r="X143" s="1"/>
  <c r="R136"/>
  <c r="X136" s="1"/>
  <c r="AD136" s="1"/>
  <c r="BU262" l="1"/>
  <c r="BU240"/>
  <c r="BQ222"/>
  <c r="BU222" s="1"/>
  <c r="BQ221"/>
  <c r="BQ209"/>
  <c r="BU209"/>
  <c r="BQ213"/>
  <c r="BU210"/>
  <c r="BQ217"/>
  <c r="BQ205"/>
  <c r="AM223"/>
  <c r="AY187"/>
  <c r="BL186"/>
  <c r="AY195"/>
  <c r="BL193"/>
  <c r="AY191"/>
  <c r="BL188"/>
  <c r="AQ191"/>
  <c r="AU154"/>
  <c r="AU145"/>
  <c r="AU165"/>
  <c r="AU149"/>
  <c r="AU161"/>
  <c r="AU163"/>
  <c r="AU155"/>
  <c r="AU181"/>
  <c r="AU184" s="1"/>
  <c r="AU138"/>
  <c r="AU151"/>
  <c r="AU171"/>
  <c r="AU174" s="1"/>
  <c r="AU177"/>
  <c r="AU179" s="1"/>
  <c r="AU167"/>
  <c r="AU136"/>
  <c r="AU158"/>
  <c r="AU150"/>
  <c r="AU153"/>
  <c r="AU148"/>
  <c r="AU152"/>
  <c r="X160"/>
  <c r="AG144"/>
  <c r="AU144"/>
  <c r="AC223"/>
  <c r="AG141"/>
  <c r="AU141"/>
  <c r="X146"/>
  <c r="X168"/>
  <c r="AQ172"/>
  <c r="AY172" s="1"/>
  <c r="BL172" s="1"/>
  <c r="AQ195"/>
  <c r="AQ187"/>
  <c r="AM141"/>
  <c r="AC141"/>
  <c r="X142"/>
  <c r="AI144"/>
  <c r="AQ183"/>
  <c r="AY183" s="1"/>
  <c r="BL183" s="1"/>
  <c r="AQ170"/>
  <c r="AY170" s="1"/>
  <c r="BL170" s="1"/>
  <c r="AQ178"/>
  <c r="AY178" s="1"/>
  <c r="BL178" s="1"/>
  <c r="AQ182"/>
  <c r="AY182" s="1"/>
  <c r="BL182" s="1"/>
  <c r="AQ175"/>
  <c r="AY175" s="1"/>
  <c r="BL175" s="1"/>
  <c r="AQ173"/>
  <c r="AY173" s="1"/>
  <c r="BL173" s="1"/>
  <c r="AQ180"/>
  <c r="AY180" s="1"/>
  <c r="BL180" s="1"/>
  <c r="AQ176"/>
  <c r="AY176" s="1"/>
  <c r="BL176" s="1"/>
  <c r="AQ169"/>
  <c r="AY169" s="1"/>
  <c r="BL169" s="1"/>
  <c r="AM161"/>
  <c r="AC161"/>
  <c r="AM163"/>
  <c r="AC163"/>
  <c r="AM136"/>
  <c r="AC136"/>
  <c r="AM138"/>
  <c r="AC138"/>
  <c r="AM151"/>
  <c r="AC151"/>
  <c r="AI177"/>
  <c r="AM177"/>
  <c r="AC177"/>
  <c r="AM158"/>
  <c r="AC158"/>
  <c r="AM150"/>
  <c r="AC150"/>
  <c r="AM148"/>
  <c r="AC148"/>
  <c r="AM165"/>
  <c r="AC165"/>
  <c r="AM152"/>
  <c r="AC152"/>
  <c r="X157"/>
  <c r="AD157" s="1"/>
  <c r="AM149"/>
  <c r="AC149"/>
  <c r="AM144"/>
  <c r="AC144"/>
  <c r="X164"/>
  <c r="AM155"/>
  <c r="AC155"/>
  <c r="AI181"/>
  <c r="AI184" s="1"/>
  <c r="AM181"/>
  <c r="AC181"/>
  <c r="AI171"/>
  <c r="AI174" s="1"/>
  <c r="AM171"/>
  <c r="AC171"/>
  <c r="AM167"/>
  <c r="AC167"/>
  <c r="AM154"/>
  <c r="AC154"/>
  <c r="AM153"/>
  <c r="AC153"/>
  <c r="AM145"/>
  <c r="AC145"/>
  <c r="X139"/>
  <c r="X156"/>
  <c r="AG158"/>
  <c r="AI158"/>
  <c r="AG150"/>
  <c r="AI150"/>
  <c r="AG148"/>
  <c r="AI148"/>
  <c r="AG165"/>
  <c r="AI165"/>
  <c r="AG152"/>
  <c r="AI152"/>
  <c r="AG145"/>
  <c r="AI145"/>
  <c r="AG161"/>
  <c r="AI161"/>
  <c r="AG163"/>
  <c r="AI163"/>
  <c r="AG155"/>
  <c r="AI155"/>
  <c r="AG153"/>
  <c r="AI153"/>
  <c r="AG149"/>
  <c r="AI149"/>
  <c r="AG167"/>
  <c r="AI167"/>
  <c r="AG154"/>
  <c r="AI154"/>
  <c r="AG136"/>
  <c r="AI136"/>
  <c r="AG138"/>
  <c r="AI138"/>
  <c r="AG151"/>
  <c r="AI151"/>
  <c r="AD179"/>
  <c r="AG177"/>
  <c r="AG179" s="1"/>
  <c r="AD174"/>
  <c r="AG171"/>
  <c r="AG174" s="1"/>
  <c r="AD184"/>
  <c r="AG181"/>
  <c r="AG184" s="1"/>
  <c r="AD140"/>
  <c r="AD162"/>
  <c r="AD143"/>
  <c r="AD166"/>
  <c r="AD147"/>
  <c r="AD159"/>
  <c r="AD137"/>
  <c r="Q133"/>
  <c r="M133"/>
  <c r="Q132"/>
  <c r="M132"/>
  <c r="Q127"/>
  <c r="Q128"/>
  <c r="Q129"/>
  <c r="Q130"/>
  <c r="Q131"/>
  <c r="M127"/>
  <c r="M128"/>
  <c r="M129"/>
  <c r="M130"/>
  <c r="M131"/>
  <c r="M126"/>
  <c r="Q126"/>
  <c r="Q124"/>
  <c r="Q123"/>
  <c r="M124"/>
  <c r="M123"/>
  <c r="Q121"/>
  <c r="Q120"/>
  <c r="M121"/>
  <c r="M120"/>
  <c r="M119"/>
  <c r="Q119"/>
  <c r="Q118"/>
  <c r="M118"/>
  <c r="Q116"/>
  <c r="Q115"/>
  <c r="M116"/>
  <c r="M115"/>
  <c r="Q114"/>
  <c r="M114"/>
  <c r="Q112"/>
  <c r="Q111"/>
  <c r="M112"/>
  <c r="M111"/>
  <c r="Q109"/>
  <c r="Q108"/>
  <c r="M109"/>
  <c r="M108"/>
  <c r="Q106"/>
  <c r="M106"/>
  <c r="Q105"/>
  <c r="M105"/>
  <c r="Q103"/>
  <c r="M103"/>
  <c r="Q102"/>
  <c r="M102"/>
  <c r="Q100"/>
  <c r="M100"/>
  <c r="Q99"/>
  <c r="M99"/>
  <c r="Q97"/>
  <c r="M97"/>
  <c r="Q96"/>
  <c r="M96"/>
  <c r="Q95"/>
  <c r="M95"/>
  <c r="Q94"/>
  <c r="M94"/>
  <c r="Q92"/>
  <c r="M92"/>
  <c r="Q91"/>
  <c r="M91"/>
  <c r="Q90"/>
  <c r="M90"/>
  <c r="BQ180" l="1"/>
  <c r="BU180" s="1"/>
  <c r="BQ173"/>
  <c r="BQ170"/>
  <c r="BQ172"/>
  <c r="BU205"/>
  <c r="BU213"/>
  <c r="BU221"/>
  <c r="BQ176"/>
  <c r="BU176" s="1"/>
  <c r="BQ182"/>
  <c r="BU217"/>
  <c r="BQ178"/>
  <c r="BU178" s="1"/>
  <c r="BQ169"/>
  <c r="BQ175"/>
  <c r="BU175" s="1"/>
  <c r="BQ183"/>
  <c r="BU183" s="1"/>
  <c r="AQ223"/>
  <c r="BL191"/>
  <c r="BQ188"/>
  <c r="BU188" s="1"/>
  <c r="BL195"/>
  <c r="BQ193"/>
  <c r="BU193" s="1"/>
  <c r="BL187"/>
  <c r="BQ186"/>
  <c r="AY223"/>
  <c r="AQ141"/>
  <c r="AU147"/>
  <c r="AU156" s="1"/>
  <c r="AU159"/>
  <c r="AU160" s="1"/>
  <c r="AU162"/>
  <c r="AU164" s="1"/>
  <c r="AI179"/>
  <c r="AU137"/>
  <c r="AU139" s="1"/>
  <c r="AU143"/>
  <c r="AU146" s="1"/>
  <c r="AU166"/>
  <c r="AU168" s="1"/>
  <c r="AU140"/>
  <c r="AU142" s="1"/>
  <c r="AU157"/>
  <c r="AC174"/>
  <c r="AQ144"/>
  <c r="AY144" s="1"/>
  <c r="BL144" s="1"/>
  <c r="AC184"/>
  <c r="AC179"/>
  <c r="AQ149"/>
  <c r="AY149" s="1"/>
  <c r="BL149" s="1"/>
  <c r="AQ158"/>
  <c r="AY158" s="1"/>
  <c r="BL158" s="1"/>
  <c r="AQ163"/>
  <c r="AY163" s="1"/>
  <c r="BL163" s="1"/>
  <c r="AQ153"/>
  <c r="AY153" s="1"/>
  <c r="BL153" s="1"/>
  <c r="AQ167"/>
  <c r="AY167" s="1"/>
  <c r="BL167" s="1"/>
  <c r="AQ165"/>
  <c r="AY165" s="1"/>
  <c r="BL165" s="1"/>
  <c r="AQ150"/>
  <c r="AY150" s="1"/>
  <c r="BL150" s="1"/>
  <c r="AQ138"/>
  <c r="AY138" s="1"/>
  <c r="BL138" s="1"/>
  <c r="AQ171"/>
  <c r="AY171" s="1"/>
  <c r="AQ145"/>
  <c r="AY145" s="1"/>
  <c r="BL145" s="1"/>
  <c r="AQ154"/>
  <c r="AY154" s="1"/>
  <c r="BL154" s="1"/>
  <c r="AQ181"/>
  <c r="AY181" s="1"/>
  <c r="AQ152"/>
  <c r="AY152" s="1"/>
  <c r="BL152" s="1"/>
  <c r="AQ148"/>
  <c r="AY148" s="1"/>
  <c r="BL148" s="1"/>
  <c r="AQ177"/>
  <c r="AY177" s="1"/>
  <c r="AQ136"/>
  <c r="AY136" s="1"/>
  <c r="BL136" s="1"/>
  <c r="AQ161"/>
  <c r="AY161" s="1"/>
  <c r="BL161" s="1"/>
  <c r="AQ155"/>
  <c r="AY155" s="1"/>
  <c r="BL155" s="1"/>
  <c r="X185"/>
  <c r="AQ151"/>
  <c r="AY151" s="1"/>
  <c r="BL151" s="1"/>
  <c r="AC157"/>
  <c r="AM157"/>
  <c r="AI157"/>
  <c r="AG157"/>
  <c r="AI147"/>
  <c r="AM147"/>
  <c r="AC147"/>
  <c r="AI159"/>
  <c r="AI160" s="1"/>
  <c r="AM159"/>
  <c r="AC159"/>
  <c r="AI137"/>
  <c r="AI139" s="1"/>
  <c r="AM137"/>
  <c r="AC137"/>
  <c r="AI166"/>
  <c r="AI168" s="1"/>
  <c r="AM166"/>
  <c r="AC166"/>
  <c r="R106"/>
  <c r="X106" s="1"/>
  <c r="AD106" s="1"/>
  <c r="R126"/>
  <c r="X126" s="1"/>
  <c r="AD126" s="1"/>
  <c r="AI140"/>
  <c r="AI142" s="1"/>
  <c r="AM140"/>
  <c r="AC140"/>
  <c r="AI162"/>
  <c r="AI164" s="1"/>
  <c r="AM162"/>
  <c r="AC162"/>
  <c r="AM179"/>
  <c r="AI143"/>
  <c r="AI146" s="1"/>
  <c r="AM143"/>
  <c r="AC143"/>
  <c r="AM174"/>
  <c r="AM184"/>
  <c r="R102"/>
  <c r="X102" s="1"/>
  <c r="AD102" s="1"/>
  <c r="AD146"/>
  <c r="AG143"/>
  <c r="AG146" s="1"/>
  <c r="AD142"/>
  <c r="AG140"/>
  <c r="AG142" s="1"/>
  <c r="AD139"/>
  <c r="AG137"/>
  <c r="AG139" s="1"/>
  <c r="AD156"/>
  <c r="AG147"/>
  <c r="AG156" s="1"/>
  <c r="AD168"/>
  <c r="AG166"/>
  <c r="AG168" s="1"/>
  <c r="AD164"/>
  <c r="AG162"/>
  <c r="AG164" s="1"/>
  <c r="AD160"/>
  <c r="AG159"/>
  <c r="AG160" s="1"/>
  <c r="R119"/>
  <c r="X119" s="1"/>
  <c r="AD119" s="1"/>
  <c r="R124"/>
  <c r="X124" s="1"/>
  <c r="AD124" s="1"/>
  <c r="R114"/>
  <c r="X114" s="1"/>
  <c r="AD114" s="1"/>
  <c r="R103"/>
  <c r="X103" s="1"/>
  <c r="AD103" s="1"/>
  <c r="R116"/>
  <c r="X116" s="1"/>
  <c r="AD116" s="1"/>
  <c r="R96"/>
  <c r="X96" s="1"/>
  <c r="R97"/>
  <c r="X97" s="1"/>
  <c r="AD97" s="1"/>
  <c r="R100"/>
  <c r="X100" s="1"/>
  <c r="AD100" s="1"/>
  <c r="R132"/>
  <c r="X132" s="1"/>
  <c r="R91"/>
  <c r="X91" s="1"/>
  <c r="X93" s="1"/>
  <c r="R131"/>
  <c r="X131" s="1"/>
  <c r="AD131" s="1"/>
  <c r="R133"/>
  <c r="X133" s="1"/>
  <c r="AD133" s="1"/>
  <c r="R95"/>
  <c r="X95" s="1"/>
  <c r="AD95" s="1"/>
  <c r="R118"/>
  <c r="X118" s="1"/>
  <c r="AD118" s="1"/>
  <c r="R99"/>
  <c r="X99" s="1"/>
  <c r="R90"/>
  <c r="X90" s="1"/>
  <c r="AD90" s="1"/>
  <c r="R105"/>
  <c r="X105" s="1"/>
  <c r="R130"/>
  <c r="X130" s="1"/>
  <c r="AD130" s="1"/>
  <c r="R129"/>
  <c r="X129" s="1"/>
  <c r="AD129" s="1"/>
  <c r="R128"/>
  <c r="X128" s="1"/>
  <c r="AD128" s="1"/>
  <c r="R127"/>
  <c r="X127" s="1"/>
  <c r="AD127" s="1"/>
  <c r="R123"/>
  <c r="X123" s="1"/>
  <c r="X125" s="1"/>
  <c r="R121"/>
  <c r="X121" s="1"/>
  <c r="AD121" s="1"/>
  <c r="R120"/>
  <c r="X120" s="1"/>
  <c r="R115"/>
  <c r="X115" s="1"/>
  <c r="X117" s="1"/>
  <c r="R112"/>
  <c r="X112" s="1"/>
  <c r="AD112" s="1"/>
  <c r="R111"/>
  <c r="X111" s="1"/>
  <c r="R109"/>
  <c r="X109" s="1"/>
  <c r="AD109" s="1"/>
  <c r="R108"/>
  <c r="X108" s="1"/>
  <c r="R94"/>
  <c r="X94" s="1"/>
  <c r="AD94" s="1"/>
  <c r="BU172" l="1"/>
  <c r="BU173"/>
  <c r="BQ151"/>
  <c r="BU151" s="1"/>
  <c r="BQ153"/>
  <c r="BU153" s="1"/>
  <c r="BQ161"/>
  <c r="BU161" s="1"/>
  <c r="BQ152"/>
  <c r="BU152" s="1"/>
  <c r="BQ167"/>
  <c r="BU167" s="1"/>
  <c r="BQ149"/>
  <c r="BU149" s="1"/>
  <c r="BQ155"/>
  <c r="BU155" s="1"/>
  <c r="BQ148"/>
  <c r="BU148" s="1"/>
  <c r="BQ145"/>
  <c r="BQ165"/>
  <c r="BU165" s="1"/>
  <c r="BQ158"/>
  <c r="BQ154"/>
  <c r="BU154" s="1"/>
  <c r="BQ150"/>
  <c r="BU150" s="1"/>
  <c r="BQ163"/>
  <c r="BU163" s="1"/>
  <c r="BQ187"/>
  <c r="BQ195"/>
  <c r="BQ191"/>
  <c r="BN136"/>
  <c r="BQ136"/>
  <c r="BN138"/>
  <c r="BQ138"/>
  <c r="BN144"/>
  <c r="BQ144"/>
  <c r="BL223"/>
  <c r="BN145"/>
  <c r="AU185"/>
  <c r="AY174"/>
  <c r="BL171"/>
  <c r="AY184"/>
  <c r="BL181"/>
  <c r="AY179"/>
  <c r="BL177"/>
  <c r="AY141"/>
  <c r="BL141" s="1"/>
  <c r="BD136"/>
  <c r="AU94"/>
  <c r="AU130"/>
  <c r="AU129"/>
  <c r="AU128"/>
  <c r="AU133"/>
  <c r="AU100"/>
  <c r="AU102"/>
  <c r="AU127"/>
  <c r="AU95"/>
  <c r="AU116"/>
  <c r="AU119"/>
  <c r="BA136"/>
  <c r="AI156"/>
  <c r="AI185" s="1"/>
  <c r="AU124"/>
  <c r="AU106"/>
  <c r="AU118"/>
  <c r="AU97"/>
  <c r="AU114"/>
  <c r="AU112"/>
  <c r="AU131"/>
  <c r="AU90"/>
  <c r="AU103"/>
  <c r="AC160"/>
  <c r="AC168"/>
  <c r="AC139"/>
  <c r="AC146"/>
  <c r="AG126"/>
  <c r="AU126"/>
  <c r="AC164"/>
  <c r="AC156"/>
  <c r="AC142"/>
  <c r="AQ179"/>
  <c r="AQ184"/>
  <c r="AQ174"/>
  <c r="X101"/>
  <c r="AQ157"/>
  <c r="AY157" s="1"/>
  <c r="BL157" s="1"/>
  <c r="AQ140"/>
  <c r="AY140" s="1"/>
  <c r="BL140" s="1"/>
  <c r="AI126"/>
  <c r="AQ143"/>
  <c r="AY143" s="1"/>
  <c r="AQ162"/>
  <c r="AY162" s="1"/>
  <c r="AQ159"/>
  <c r="AY159" s="1"/>
  <c r="AQ147"/>
  <c r="AY147" s="1"/>
  <c r="X98"/>
  <c r="AQ166"/>
  <c r="AY166" s="1"/>
  <c r="AQ137"/>
  <c r="AY137" s="1"/>
  <c r="AM94"/>
  <c r="AC94"/>
  <c r="AM118"/>
  <c r="AC118"/>
  <c r="AM129"/>
  <c r="AC129"/>
  <c r="AM97"/>
  <c r="AC97"/>
  <c r="AM146"/>
  <c r="AM106"/>
  <c r="AC106"/>
  <c r="AM109"/>
  <c r="AC109"/>
  <c r="AM128"/>
  <c r="AC128"/>
  <c r="AM127"/>
  <c r="AC127"/>
  <c r="AM95"/>
  <c r="AC95"/>
  <c r="AM116"/>
  <c r="AC116"/>
  <c r="AM119"/>
  <c r="AC119"/>
  <c r="AM164"/>
  <c r="AM142"/>
  <c r="AM168"/>
  <c r="AM139"/>
  <c r="AM160"/>
  <c r="AM156"/>
  <c r="X113"/>
  <c r="X110"/>
  <c r="X107"/>
  <c r="X134"/>
  <c r="AI106"/>
  <c r="AM112"/>
  <c r="AC112"/>
  <c r="AM130"/>
  <c r="AC130"/>
  <c r="AM124"/>
  <c r="AC124"/>
  <c r="AM121"/>
  <c r="AC121"/>
  <c r="AM131"/>
  <c r="AC131"/>
  <c r="AM114"/>
  <c r="AC114"/>
  <c r="AM90"/>
  <c r="AC90"/>
  <c r="AM133"/>
  <c r="AC133"/>
  <c r="AM100"/>
  <c r="AC100"/>
  <c r="AM103"/>
  <c r="AC103"/>
  <c r="AM102"/>
  <c r="AC102"/>
  <c r="AM126"/>
  <c r="AC126"/>
  <c r="X122"/>
  <c r="AG106"/>
  <c r="X104"/>
  <c r="AG94"/>
  <c r="AI94"/>
  <c r="AG130"/>
  <c r="AI130"/>
  <c r="AG129"/>
  <c r="AI129"/>
  <c r="AG97"/>
  <c r="AI97"/>
  <c r="AG109"/>
  <c r="AI109"/>
  <c r="AG128"/>
  <c r="AI128"/>
  <c r="AG90"/>
  <c r="AI90"/>
  <c r="AG133"/>
  <c r="AI133"/>
  <c r="AG100"/>
  <c r="AI100"/>
  <c r="AG103"/>
  <c r="AI103"/>
  <c r="AG102"/>
  <c r="AI102"/>
  <c r="AG112"/>
  <c r="AI112"/>
  <c r="AG118"/>
  <c r="AI118"/>
  <c r="AG121"/>
  <c r="AI121"/>
  <c r="AG131"/>
  <c r="AI131"/>
  <c r="AG114"/>
  <c r="AI114"/>
  <c r="AG127"/>
  <c r="AI127"/>
  <c r="AG95"/>
  <c r="AI95"/>
  <c r="AG116"/>
  <c r="AI116"/>
  <c r="AG119"/>
  <c r="AI119"/>
  <c r="AG185"/>
  <c r="AG124"/>
  <c r="AI124"/>
  <c r="AD185"/>
  <c r="AD91"/>
  <c r="AD120"/>
  <c r="AD104"/>
  <c r="AD123"/>
  <c r="AD96"/>
  <c r="AD111"/>
  <c r="AD99"/>
  <c r="AD108"/>
  <c r="AD115"/>
  <c r="AD105"/>
  <c r="AD132"/>
  <c r="Q38"/>
  <c r="Q37"/>
  <c r="M38"/>
  <c r="M37"/>
  <c r="Q88"/>
  <c r="Q87"/>
  <c r="Q86"/>
  <c r="M87"/>
  <c r="M88"/>
  <c r="J85"/>
  <c r="K85"/>
  <c r="L85"/>
  <c r="N85"/>
  <c r="O85"/>
  <c r="P85"/>
  <c r="S85"/>
  <c r="M86"/>
  <c r="Q84"/>
  <c r="Q83"/>
  <c r="M84"/>
  <c r="M83"/>
  <c r="Q81"/>
  <c r="Q80"/>
  <c r="M81"/>
  <c r="M80"/>
  <c r="Q78"/>
  <c r="Q77"/>
  <c r="Q76"/>
  <c r="M77"/>
  <c r="M78"/>
  <c r="M76"/>
  <c r="Q74"/>
  <c r="Q73"/>
  <c r="Q72"/>
  <c r="M73"/>
  <c r="M74"/>
  <c r="M72"/>
  <c r="Q70"/>
  <c r="Q69"/>
  <c r="M70"/>
  <c r="M69"/>
  <c r="Q67"/>
  <c r="Q66"/>
  <c r="M67"/>
  <c r="M66"/>
  <c r="Q64"/>
  <c r="Q63"/>
  <c r="M64"/>
  <c r="M63"/>
  <c r="Q61"/>
  <c r="Q60"/>
  <c r="M61"/>
  <c r="M60"/>
  <c r="Q58"/>
  <c r="Q57"/>
  <c r="M58"/>
  <c r="M57"/>
  <c r="Q54"/>
  <c r="Q53"/>
  <c r="M54"/>
  <c r="M53"/>
  <c r="Q51"/>
  <c r="Q50"/>
  <c r="M51"/>
  <c r="M50"/>
  <c r="Q47"/>
  <c r="Q48"/>
  <c r="Q46"/>
  <c r="M47"/>
  <c r="M48"/>
  <c r="M46"/>
  <c r="Q45"/>
  <c r="M45"/>
  <c r="Q44"/>
  <c r="M44"/>
  <c r="Q41"/>
  <c r="Q42"/>
  <c r="Q40"/>
  <c r="M41"/>
  <c r="M42"/>
  <c r="M40"/>
  <c r="Q35"/>
  <c r="Q34"/>
  <c r="M35"/>
  <c r="M34"/>
  <c r="Q31"/>
  <c r="Q32"/>
  <c r="Q30"/>
  <c r="M31"/>
  <c r="M32"/>
  <c r="M30"/>
  <c r="Q28"/>
  <c r="M28"/>
  <c r="Q27"/>
  <c r="M27"/>
  <c r="Q25"/>
  <c r="M25"/>
  <c r="Q18"/>
  <c r="Q19"/>
  <c r="Q20"/>
  <c r="Q21"/>
  <c r="Q22"/>
  <c r="Q23"/>
  <c r="Q17"/>
  <c r="M19"/>
  <c r="M20"/>
  <c r="M21"/>
  <c r="M22"/>
  <c r="M23"/>
  <c r="M18"/>
  <c r="R18" s="1"/>
  <c r="X18" s="1"/>
  <c r="AD18" s="1"/>
  <c r="M17"/>
  <c r="Q15"/>
  <c r="Q14"/>
  <c r="M15"/>
  <c r="M14"/>
  <c r="Q12"/>
  <c r="Q11"/>
  <c r="M12"/>
  <c r="M11"/>
  <c r="Q9"/>
  <c r="Q8"/>
  <c r="M9"/>
  <c r="M8"/>
  <c r="BU144" l="1"/>
  <c r="BU145"/>
  <c r="BQ181"/>
  <c r="BU181" s="1"/>
  <c r="BU195"/>
  <c r="BQ223"/>
  <c r="BQ157"/>
  <c r="BU157" s="1"/>
  <c r="BU191"/>
  <c r="BU187"/>
  <c r="BN140"/>
  <c r="BQ140"/>
  <c r="BN141"/>
  <c r="BQ141"/>
  <c r="BL179"/>
  <c r="BQ177"/>
  <c r="BL174"/>
  <c r="BQ171"/>
  <c r="BU171" s="1"/>
  <c r="BN148"/>
  <c r="BL142"/>
  <c r="AM185"/>
  <c r="BL184"/>
  <c r="AY168"/>
  <c r="BL166"/>
  <c r="AY164"/>
  <c r="BL162"/>
  <c r="AY139"/>
  <c r="BL137"/>
  <c r="AY146"/>
  <c r="BL143"/>
  <c r="AY160"/>
  <c r="BL159"/>
  <c r="AY156"/>
  <c r="BL147"/>
  <c r="AY142"/>
  <c r="BD137"/>
  <c r="AQ126"/>
  <c r="AU132"/>
  <c r="AU134" s="1"/>
  <c r="AU18"/>
  <c r="AU115"/>
  <c r="AU117" s="1"/>
  <c r="AU96"/>
  <c r="AU98" s="1"/>
  <c r="AU105"/>
  <c r="AU107" s="1"/>
  <c r="AU111"/>
  <c r="AU113" s="1"/>
  <c r="AU120"/>
  <c r="AU122" s="1"/>
  <c r="Q56"/>
  <c r="AU99"/>
  <c r="AU101" s="1"/>
  <c r="AU108"/>
  <c r="AU110" s="1"/>
  <c r="AU123"/>
  <c r="AU125" s="1"/>
  <c r="M56"/>
  <c r="AU104"/>
  <c r="AU91"/>
  <c r="AU93" s="1"/>
  <c r="AC104"/>
  <c r="AC185"/>
  <c r="AQ146"/>
  <c r="AQ114"/>
  <c r="AQ121"/>
  <c r="AY121" s="1"/>
  <c r="BL121" s="1"/>
  <c r="AQ168"/>
  <c r="AQ164"/>
  <c r="AQ139"/>
  <c r="AQ160"/>
  <c r="AQ142"/>
  <c r="AQ156"/>
  <c r="AQ100"/>
  <c r="AQ128"/>
  <c r="AY128" s="1"/>
  <c r="BL128" s="1"/>
  <c r="R25"/>
  <c r="X25" s="1"/>
  <c r="AQ102"/>
  <c r="AY102" s="1"/>
  <c r="BL102" s="1"/>
  <c r="AQ90"/>
  <c r="AQ130"/>
  <c r="AY130" s="1"/>
  <c r="BL130" s="1"/>
  <c r="AQ95"/>
  <c r="AY95" s="1"/>
  <c r="BL95" s="1"/>
  <c r="AQ97"/>
  <c r="AQ118"/>
  <c r="AY118" s="1"/>
  <c r="BL118" s="1"/>
  <c r="AQ119"/>
  <c r="AY119" s="1"/>
  <c r="BL119" s="1"/>
  <c r="AQ94"/>
  <c r="AY94" s="1"/>
  <c r="BL94" s="1"/>
  <c r="AQ103"/>
  <c r="AQ133"/>
  <c r="AQ124"/>
  <c r="AY124" s="1"/>
  <c r="BL124" s="1"/>
  <c r="AQ112"/>
  <c r="AY112" s="1"/>
  <c r="BL112" s="1"/>
  <c r="AQ127"/>
  <c r="AQ109"/>
  <c r="AQ129"/>
  <c r="AQ131"/>
  <c r="R66"/>
  <c r="X66" s="1"/>
  <c r="AD66" s="1"/>
  <c r="M85"/>
  <c r="AQ116"/>
  <c r="AQ106"/>
  <c r="AY106" s="1"/>
  <c r="BL106" s="1"/>
  <c r="AI111"/>
  <c r="AI113" s="1"/>
  <c r="AM111"/>
  <c r="AC111"/>
  <c r="AM99"/>
  <c r="AC99"/>
  <c r="AM18"/>
  <c r="AC18"/>
  <c r="AI115"/>
  <c r="AI117" s="1"/>
  <c r="AM115"/>
  <c r="AC115"/>
  <c r="AI96"/>
  <c r="AI98" s="1"/>
  <c r="AM96"/>
  <c r="AC96"/>
  <c r="AI91"/>
  <c r="AI93" s="1"/>
  <c r="AM91"/>
  <c r="AC91"/>
  <c r="X135"/>
  <c r="AI105"/>
  <c r="AI107" s="1"/>
  <c r="AM105"/>
  <c r="AC105"/>
  <c r="AI120"/>
  <c r="AI122" s="1"/>
  <c r="AM120"/>
  <c r="AC120"/>
  <c r="AI132"/>
  <c r="AI134" s="1"/>
  <c r="AM132"/>
  <c r="AC132"/>
  <c r="AI108"/>
  <c r="AI110" s="1"/>
  <c r="AM108"/>
  <c r="AC108"/>
  <c r="AI123"/>
  <c r="AM123"/>
  <c r="AC123"/>
  <c r="AM104"/>
  <c r="AG104"/>
  <c r="AG18"/>
  <c r="AI18"/>
  <c r="AI104"/>
  <c r="AG99"/>
  <c r="AG101" s="1"/>
  <c r="AI99"/>
  <c r="AI101" s="1"/>
  <c r="AD134"/>
  <c r="AG132"/>
  <c r="AG134" s="1"/>
  <c r="AD117"/>
  <c r="AG115"/>
  <c r="AG117" s="1"/>
  <c r="AD98"/>
  <c r="AG96"/>
  <c r="AG98" s="1"/>
  <c r="AD110"/>
  <c r="AG108"/>
  <c r="AG110" s="1"/>
  <c r="AD107"/>
  <c r="AG105"/>
  <c r="AG107" s="1"/>
  <c r="AD113"/>
  <c r="AG111"/>
  <c r="AG113" s="1"/>
  <c r="AD125"/>
  <c r="AG123"/>
  <c r="AG125" s="1"/>
  <c r="AD122"/>
  <c r="AG120"/>
  <c r="AG122" s="1"/>
  <c r="AD93"/>
  <c r="AG91"/>
  <c r="AG93" s="1"/>
  <c r="AD101"/>
  <c r="R28"/>
  <c r="X28" s="1"/>
  <c r="AD28" s="1"/>
  <c r="R34"/>
  <c r="X34" s="1"/>
  <c r="R53"/>
  <c r="R76"/>
  <c r="X76" s="1"/>
  <c r="Q85"/>
  <c r="R86"/>
  <c r="X86" s="1"/>
  <c r="AD86" s="1"/>
  <c r="R46"/>
  <c r="X46" s="1"/>
  <c r="R67"/>
  <c r="X67" s="1"/>
  <c r="AD67" s="1"/>
  <c r="R37"/>
  <c r="X37" s="1"/>
  <c r="R9"/>
  <c r="X9" s="1"/>
  <c r="AD9" s="1"/>
  <c r="R38"/>
  <c r="X38" s="1"/>
  <c r="AD38" s="1"/>
  <c r="R63"/>
  <c r="X63" s="1"/>
  <c r="R42"/>
  <c r="X42" s="1"/>
  <c r="AD42" s="1"/>
  <c r="R80"/>
  <c r="X80" s="1"/>
  <c r="R8"/>
  <c r="X8" s="1"/>
  <c r="R11"/>
  <c r="X11" s="1"/>
  <c r="R60"/>
  <c r="X60" s="1"/>
  <c r="R45"/>
  <c r="X45" s="1"/>
  <c r="AD45" s="1"/>
  <c r="R44"/>
  <c r="X44" s="1"/>
  <c r="AD44" s="1"/>
  <c r="R15"/>
  <c r="X15" s="1"/>
  <c r="AD15" s="1"/>
  <c r="R78"/>
  <c r="X78" s="1"/>
  <c r="AD78" s="1"/>
  <c r="R69"/>
  <c r="X69" s="1"/>
  <c r="R88"/>
  <c r="X88" s="1"/>
  <c r="R87"/>
  <c r="X87" s="1"/>
  <c r="AD87" s="1"/>
  <c r="R84"/>
  <c r="X84" s="1"/>
  <c r="R83"/>
  <c r="X83" s="1"/>
  <c r="R81"/>
  <c r="X81" s="1"/>
  <c r="AD81" s="1"/>
  <c r="R77"/>
  <c r="X77" s="1"/>
  <c r="AD77" s="1"/>
  <c r="R74"/>
  <c r="X74" s="1"/>
  <c r="R73"/>
  <c r="X73" s="1"/>
  <c r="R72"/>
  <c r="X72" s="1"/>
  <c r="R70"/>
  <c r="X70" s="1"/>
  <c r="AD70" s="1"/>
  <c r="R64"/>
  <c r="X64" s="1"/>
  <c r="AD64" s="1"/>
  <c r="R61"/>
  <c r="X61" s="1"/>
  <c r="R58"/>
  <c r="X58" s="1"/>
  <c r="AD58" s="1"/>
  <c r="R57"/>
  <c r="X57" s="1"/>
  <c r="R54"/>
  <c r="X54" s="1"/>
  <c r="AD54" s="1"/>
  <c r="R51"/>
  <c r="X51" s="1"/>
  <c r="AD51" s="1"/>
  <c r="R50"/>
  <c r="X50" s="1"/>
  <c r="R48"/>
  <c r="X48" s="1"/>
  <c r="R47"/>
  <c r="X47" s="1"/>
  <c r="R41"/>
  <c r="X41" s="1"/>
  <c r="AD41" s="1"/>
  <c r="R40"/>
  <c r="X40" s="1"/>
  <c r="R35"/>
  <c r="X35" s="1"/>
  <c r="AD35" s="1"/>
  <c r="R23"/>
  <c r="X23" s="1"/>
  <c r="AD23" s="1"/>
  <c r="R32"/>
  <c r="X32" s="1"/>
  <c r="R30"/>
  <c r="X30" s="1"/>
  <c r="R31"/>
  <c r="X31" s="1"/>
  <c r="R27"/>
  <c r="X27" s="1"/>
  <c r="R22"/>
  <c r="X22" s="1"/>
  <c r="AD22" s="1"/>
  <c r="R21"/>
  <c r="X21" s="1"/>
  <c r="AD21" s="1"/>
  <c r="R20"/>
  <c r="X20" s="1"/>
  <c r="AD20" s="1"/>
  <c r="R19"/>
  <c r="X19" s="1"/>
  <c r="AD19" s="1"/>
  <c r="R17"/>
  <c r="X17" s="1"/>
  <c r="R14"/>
  <c r="X14" s="1"/>
  <c r="R12"/>
  <c r="X12" s="1"/>
  <c r="AD12" s="1"/>
  <c r="BU140" l="1"/>
  <c r="BU141"/>
  <c r="BU223"/>
  <c r="BQ184"/>
  <c r="BU184"/>
  <c r="BQ137"/>
  <c r="BQ139" s="1"/>
  <c r="BQ166"/>
  <c r="BU166" s="1"/>
  <c r="BQ143"/>
  <c r="BU143" s="1"/>
  <c r="BU139"/>
  <c r="BQ174"/>
  <c r="BQ179"/>
  <c r="BU177"/>
  <c r="BN142"/>
  <c r="BQ142"/>
  <c r="BN106"/>
  <c r="BQ106"/>
  <c r="BN112"/>
  <c r="BQ112"/>
  <c r="BN94"/>
  <c r="BQ94"/>
  <c r="BU94" s="1"/>
  <c r="BN118"/>
  <c r="BQ118"/>
  <c r="BN95"/>
  <c r="BQ95"/>
  <c r="BU95" s="1"/>
  <c r="BN124"/>
  <c r="BQ124"/>
  <c r="BN119"/>
  <c r="BQ119"/>
  <c r="BN130"/>
  <c r="BQ130"/>
  <c r="BN102"/>
  <c r="BQ102"/>
  <c r="BU102" s="1"/>
  <c r="BN128"/>
  <c r="BQ128"/>
  <c r="BN121"/>
  <c r="BQ121"/>
  <c r="BL156"/>
  <c r="BQ147"/>
  <c r="BU147" s="1"/>
  <c r="BL160"/>
  <c r="BQ159"/>
  <c r="BL164"/>
  <c r="BQ162"/>
  <c r="BL146"/>
  <c r="BN143"/>
  <c r="BN146" s="1"/>
  <c r="BL139"/>
  <c r="BN137"/>
  <c r="BN139" s="1"/>
  <c r="BN147"/>
  <c r="BN149"/>
  <c r="AQ185"/>
  <c r="AY185"/>
  <c r="BL168"/>
  <c r="AU135"/>
  <c r="AY127"/>
  <c r="BA127" s="1"/>
  <c r="AY103"/>
  <c r="AY97"/>
  <c r="AY114"/>
  <c r="AY131"/>
  <c r="BA131" s="1"/>
  <c r="AY116"/>
  <c r="AY129"/>
  <c r="AY109"/>
  <c r="BA109" s="1"/>
  <c r="AY133"/>
  <c r="AY90"/>
  <c r="BA90" s="1"/>
  <c r="AY100"/>
  <c r="AY126"/>
  <c r="BA138"/>
  <c r="BD138"/>
  <c r="BD139" s="1"/>
  <c r="BD106"/>
  <c r="BD112"/>
  <c r="BD94"/>
  <c r="BD95"/>
  <c r="BD102"/>
  <c r="BD118"/>
  <c r="BD121"/>
  <c r="BD124"/>
  <c r="BD119"/>
  <c r="BD130"/>
  <c r="BD128"/>
  <c r="AU12"/>
  <c r="AU41"/>
  <c r="AU86"/>
  <c r="AU19"/>
  <c r="AU64"/>
  <c r="AU22"/>
  <c r="AU35"/>
  <c r="AU81"/>
  <c r="AU15"/>
  <c r="AU67"/>
  <c r="BA112"/>
  <c r="AU21"/>
  <c r="AU23"/>
  <c r="AU54"/>
  <c r="AU77"/>
  <c r="AU78"/>
  <c r="AU42"/>
  <c r="AU28"/>
  <c r="AC93"/>
  <c r="R85"/>
  <c r="AI125"/>
  <c r="AI135" s="1"/>
  <c r="AU45"/>
  <c r="BA118"/>
  <c r="BA121"/>
  <c r="AU20"/>
  <c r="AU51"/>
  <c r="AU9"/>
  <c r="AU44"/>
  <c r="AU38"/>
  <c r="AU39" s="1"/>
  <c r="X53"/>
  <c r="X56" s="1"/>
  <c r="R56"/>
  <c r="BA124"/>
  <c r="BA119"/>
  <c r="BA130"/>
  <c r="BA128"/>
  <c r="AU70"/>
  <c r="AU58"/>
  <c r="AU87"/>
  <c r="AU66"/>
  <c r="BA106"/>
  <c r="BA94"/>
  <c r="BA95"/>
  <c r="BA140"/>
  <c r="BA137"/>
  <c r="AC101"/>
  <c r="AC122"/>
  <c r="AC113"/>
  <c r="AC110"/>
  <c r="AC117"/>
  <c r="AC125"/>
  <c r="AC107"/>
  <c r="AC98"/>
  <c r="AC134"/>
  <c r="AQ120"/>
  <c r="AY120" s="1"/>
  <c r="AQ18"/>
  <c r="AQ108"/>
  <c r="AY108" s="1"/>
  <c r="AQ132"/>
  <c r="AY132" s="1"/>
  <c r="BL132" s="1"/>
  <c r="AQ115"/>
  <c r="AY115" s="1"/>
  <c r="BL115" s="1"/>
  <c r="AQ99"/>
  <c r="AY99" s="1"/>
  <c r="BL99" s="1"/>
  <c r="X24"/>
  <c r="X26" s="1"/>
  <c r="X59"/>
  <c r="X13"/>
  <c r="X65"/>
  <c r="X79"/>
  <c r="AQ105"/>
  <c r="AY105" s="1"/>
  <c r="AQ91"/>
  <c r="AY91" s="1"/>
  <c r="AQ111"/>
  <c r="AY111" s="1"/>
  <c r="AQ104"/>
  <c r="X39"/>
  <c r="AQ123"/>
  <c r="AY123" s="1"/>
  <c r="AQ96"/>
  <c r="AY96" s="1"/>
  <c r="BL96" s="1"/>
  <c r="AM81"/>
  <c r="AC81"/>
  <c r="AM15"/>
  <c r="AC15"/>
  <c r="AM66"/>
  <c r="AC66"/>
  <c r="AM122"/>
  <c r="AM101"/>
  <c r="AM77"/>
  <c r="AC77"/>
  <c r="AM78"/>
  <c r="AC78"/>
  <c r="AM42"/>
  <c r="AC42"/>
  <c r="AM12"/>
  <c r="AC12"/>
  <c r="AM20"/>
  <c r="AC20"/>
  <c r="AM51"/>
  <c r="AC51"/>
  <c r="AM70"/>
  <c r="AC70"/>
  <c r="AM19"/>
  <c r="AC19"/>
  <c r="AM58"/>
  <c r="AC58"/>
  <c r="AM64"/>
  <c r="AC64"/>
  <c r="AM44"/>
  <c r="AC44"/>
  <c r="AI38"/>
  <c r="AI39" s="1"/>
  <c r="AM38"/>
  <c r="AC38"/>
  <c r="AM93"/>
  <c r="AM98"/>
  <c r="AM117"/>
  <c r="AM113"/>
  <c r="X16"/>
  <c r="X33"/>
  <c r="X29"/>
  <c r="X43"/>
  <c r="X52"/>
  <c r="X85"/>
  <c r="X10"/>
  <c r="X49"/>
  <c r="AM22"/>
  <c r="AC22"/>
  <c r="AM35"/>
  <c r="AC35"/>
  <c r="AM87"/>
  <c r="AC87"/>
  <c r="AI67"/>
  <c r="AM67"/>
  <c r="AC67"/>
  <c r="AM134"/>
  <c r="AM107"/>
  <c r="AM21"/>
  <c r="AC21"/>
  <c r="AM23"/>
  <c r="AC23"/>
  <c r="AM54"/>
  <c r="AC54"/>
  <c r="AM28"/>
  <c r="AC28"/>
  <c r="AM41"/>
  <c r="AC41"/>
  <c r="AC74"/>
  <c r="AC84"/>
  <c r="AM45"/>
  <c r="AC45"/>
  <c r="AM9"/>
  <c r="AC9"/>
  <c r="AM86"/>
  <c r="AC86"/>
  <c r="AM125"/>
  <c r="AM110"/>
  <c r="X75"/>
  <c r="X62"/>
  <c r="X71"/>
  <c r="X82"/>
  <c r="X36"/>
  <c r="X68"/>
  <c r="AD135"/>
  <c r="AG64"/>
  <c r="AI64"/>
  <c r="AG22"/>
  <c r="AI22"/>
  <c r="AG35"/>
  <c r="AI35"/>
  <c r="AG81"/>
  <c r="AI81"/>
  <c r="AG87"/>
  <c r="AI87"/>
  <c r="AG15"/>
  <c r="AI15"/>
  <c r="AG66"/>
  <c r="AI66"/>
  <c r="AG12"/>
  <c r="AI12"/>
  <c r="AG19"/>
  <c r="AI19"/>
  <c r="AG58"/>
  <c r="AI58"/>
  <c r="AG44"/>
  <c r="AI44"/>
  <c r="AG21"/>
  <c r="AI21"/>
  <c r="AG23"/>
  <c r="AI23"/>
  <c r="AG54"/>
  <c r="AI54"/>
  <c r="AG77"/>
  <c r="AI77"/>
  <c r="AG78"/>
  <c r="AI78"/>
  <c r="AG42"/>
  <c r="AI42"/>
  <c r="AG28"/>
  <c r="AI28"/>
  <c r="AG20"/>
  <c r="AI20"/>
  <c r="AG41"/>
  <c r="AI41"/>
  <c r="AG51"/>
  <c r="AI51"/>
  <c r="AG70"/>
  <c r="AI70"/>
  <c r="AG45"/>
  <c r="AI45"/>
  <c r="AG9"/>
  <c r="AI9"/>
  <c r="AG86"/>
  <c r="AI86"/>
  <c r="AD39"/>
  <c r="AG38"/>
  <c r="AG39" s="1"/>
  <c r="AD68"/>
  <c r="AG67"/>
  <c r="AG135"/>
  <c r="AD17"/>
  <c r="AD57"/>
  <c r="AD11"/>
  <c r="AD63"/>
  <c r="AD14"/>
  <c r="AD30"/>
  <c r="AD33" s="1"/>
  <c r="AD60"/>
  <c r="AD62" s="1"/>
  <c r="AD34"/>
  <c r="AD69"/>
  <c r="AD80"/>
  <c r="AD46"/>
  <c r="AD72"/>
  <c r="AD75" s="1"/>
  <c r="AD27"/>
  <c r="AD40"/>
  <c r="AD50"/>
  <c r="AD83"/>
  <c r="AD85" s="1"/>
  <c r="AD8"/>
  <c r="AD76"/>
  <c r="Q6"/>
  <c r="Q5"/>
  <c r="M6"/>
  <c r="M5"/>
  <c r="J7"/>
  <c r="K7"/>
  <c r="L7"/>
  <c r="N7"/>
  <c r="O7"/>
  <c r="P7"/>
  <c r="S7"/>
  <c r="J10"/>
  <c r="K10"/>
  <c r="L10"/>
  <c r="M10"/>
  <c r="N10"/>
  <c r="O10"/>
  <c r="P10"/>
  <c r="Q10"/>
  <c r="R10"/>
  <c r="S10"/>
  <c r="J13"/>
  <c r="K13"/>
  <c r="L13"/>
  <c r="M13"/>
  <c r="N13"/>
  <c r="O13"/>
  <c r="P13"/>
  <c r="Q13"/>
  <c r="R13"/>
  <c r="S13"/>
  <c r="J16"/>
  <c r="K16"/>
  <c r="L16"/>
  <c r="M16"/>
  <c r="N16"/>
  <c r="O16"/>
  <c r="P16"/>
  <c r="Q16"/>
  <c r="R16"/>
  <c r="S16"/>
  <c r="J24"/>
  <c r="J26" s="1"/>
  <c r="K24"/>
  <c r="K26" s="1"/>
  <c r="L24"/>
  <c r="L26" s="1"/>
  <c r="M24"/>
  <c r="M26" s="1"/>
  <c r="N24"/>
  <c r="N26" s="1"/>
  <c r="O24"/>
  <c r="O26" s="1"/>
  <c r="P24"/>
  <c r="P26" s="1"/>
  <c r="Q24"/>
  <c r="Q26" s="1"/>
  <c r="R24"/>
  <c r="R26" s="1"/>
  <c r="S24"/>
  <c r="S26" s="1"/>
  <c r="J29"/>
  <c r="K29"/>
  <c r="L29"/>
  <c r="M29"/>
  <c r="N29"/>
  <c r="O29"/>
  <c r="P29"/>
  <c r="Q29"/>
  <c r="R29"/>
  <c r="S29"/>
  <c r="J33"/>
  <c r="K33"/>
  <c r="L33"/>
  <c r="M33"/>
  <c r="N33"/>
  <c r="O33"/>
  <c r="P33"/>
  <c r="Q33"/>
  <c r="R33"/>
  <c r="S33"/>
  <c r="J36"/>
  <c r="K36"/>
  <c r="L36"/>
  <c r="M36"/>
  <c r="N36"/>
  <c r="O36"/>
  <c r="P36"/>
  <c r="Q36"/>
  <c r="R36"/>
  <c r="S36"/>
  <c r="J39"/>
  <c r="K39"/>
  <c r="L39"/>
  <c r="M39"/>
  <c r="N39"/>
  <c r="O39"/>
  <c r="P39"/>
  <c r="Q39"/>
  <c r="R39"/>
  <c r="S39"/>
  <c r="J43"/>
  <c r="K43"/>
  <c r="L43"/>
  <c r="M43"/>
  <c r="N43"/>
  <c r="O43"/>
  <c r="P43"/>
  <c r="Q43"/>
  <c r="R43"/>
  <c r="S43"/>
  <c r="J49"/>
  <c r="K49"/>
  <c r="L49"/>
  <c r="M49"/>
  <c r="N49"/>
  <c r="O49"/>
  <c r="P49"/>
  <c r="Q49"/>
  <c r="R49"/>
  <c r="S49"/>
  <c r="J52"/>
  <c r="K52"/>
  <c r="L52"/>
  <c r="M52"/>
  <c r="N52"/>
  <c r="O52"/>
  <c r="P52"/>
  <c r="Q52"/>
  <c r="R52"/>
  <c r="S52"/>
  <c r="J59"/>
  <c r="K59"/>
  <c r="L59"/>
  <c r="M59"/>
  <c r="N59"/>
  <c r="O59"/>
  <c r="P59"/>
  <c r="Q59"/>
  <c r="R59"/>
  <c r="S59"/>
  <c r="J62"/>
  <c r="K62"/>
  <c r="L62"/>
  <c r="M62"/>
  <c r="N62"/>
  <c r="O62"/>
  <c r="P62"/>
  <c r="Q62"/>
  <c r="R62"/>
  <c r="S62"/>
  <c r="J65"/>
  <c r="K65"/>
  <c r="L65"/>
  <c r="M65"/>
  <c r="N65"/>
  <c r="O65"/>
  <c r="P65"/>
  <c r="Q65"/>
  <c r="R65"/>
  <c r="S65"/>
  <c r="J71"/>
  <c r="K71"/>
  <c r="L71"/>
  <c r="M71"/>
  <c r="N71"/>
  <c r="O71"/>
  <c r="P71"/>
  <c r="Q71"/>
  <c r="R71"/>
  <c r="S71"/>
  <c r="J75"/>
  <c r="K75"/>
  <c r="L75"/>
  <c r="M75"/>
  <c r="N75"/>
  <c r="O75"/>
  <c r="P75"/>
  <c r="Q75"/>
  <c r="R75"/>
  <c r="S75"/>
  <c r="J79"/>
  <c r="K79"/>
  <c r="L79"/>
  <c r="M79"/>
  <c r="N79"/>
  <c r="O79"/>
  <c r="P79"/>
  <c r="Q79"/>
  <c r="R79"/>
  <c r="S79"/>
  <c r="J82"/>
  <c r="K82"/>
  <c r="L82"/>
  <c r="M82"/>
  <c r="N82"/>
  <c r="O82"/>
  <c r="P82"/>
  <c r="Q82"/>
  <c r="R82"/>
  <c r="S82"/>
  <c r="J93"/>
  <c r="K93"/>
  <c r="L93"/>
  <c r="M93"/>
  <c r="N93"/>
  <c r="O93"/>
  <c r="P93"/>
  <c r="Q93"/>
  <c r="R93"/>
  <c r="S93"/>
  <c r="J98"/>
  <c r="K98"/>
  <c r="L98"/>
  <c r="M98"/>
  <c r="N98"/>
  <c r="O98"/>
  <c r="P98"/>
  <c r="Q98"/>
  <c r="R98"/>
  <c r="S98"/>
  <c r="J101"/>
  <c r="K101"/>
  <c r="L101"/>
  <c r="M101"/>
  <c r="N101"/>
  <c r="O101"/>
  <c r="P101"/>
  <c r="Q101"/>
  <c r="R101"/>
  <c r="S101"/>
  <c r="J104"/>
  <c r="K104"/>
  <c r="L104"/>
  <c r="M104"/>
  <c r="N104"/>
  <c r="O104"/>
  <c r="P104"/>
  <c r="Q104"/>
  <c r="R104"/>
  <c r="S104"/>
  <c r="J107"/>
  <c r="K107"/>
  <c r="L107"/>
  <c r="M107"/>
  <c r="N107"/>
  <c r="O107"/>
  <c r="P107"/>
  <c r="Q107"/>
  <c r="R107"/>
  <c r="S107"/>
  <c r="J110"/>
  <c r="K110"/>
  <c r="L110"/>
  <c r="M110"/>
  <c r="N110"/>
  <c r="O110"/>
  <c r="P110"/>
  <c r="Q110"/>
  <c r="R110"/>
  <c r="S110"/>
  <c r="J113"/>
  <c r="K113"/>
  <c r="L113"/>
  <c r="M113"/>
  <c r="N113"/>
  <c r="O113"/>
  <c r="P113"/>
  <c r="Q113"/>
  <c r="R113"/>
  <c r="S113"/>
  <c r="J117"/>
  <c r="K117"/>
  <c r="L117"/>
  <c r="M117"/>
  <c r="N117"/>
  <c r="O117"/>
  <c r="P117"/>
  <c r="Q117"/>
  <c r="R117"/>
  <c r="S117"/>
  <c r="J122"/>
  <c r="K122"/>
  <c r="L122"/>
  <c r="M122"/>
  <c r="N122"/>
  <c r="O122"/>
  <c r="P122"/>
  <c r="Q122"/>
  <c r="R122"/>
  <c r="S122"/>
  <c r="J125"/>
  <c r="K125"/>
  <c r="L125"/>
  <c r="M125"/>
  <c r="N125"/>
  <c r="O125"/>
  <c r="P125"/>
  <c r="Q125"/>
  <c r="R125"/>
  <c r="S125"/>
  <c r="J134"/>
  <c r="K134"/>
  <c r="L134"/>
  <c r="M134"/>
  <c r="N134"/>
  <c r="O134"/>
  <c r="P134"/>
  <c r="Q134"/>
  <c r="R134"/>
  <c r="S134"/>
  <c r="J139"/>
  <c r="K139"/>
  <c r="L139"/>
  <c r="M139"/>
  <c r="N139"/>
  <c r="O139"/>
  <c r="P139"/>
  <c r="Q139"/>
  <c r="R139"/>
  <c r="S139"/>
  <c r="J142"/>
  <c r="K142"/>
  <c r="L142"/>
  <c r="M142"/>
  <c r="N142"/>
  <c r="O142"/>
  <c r="P142"/>
  <c r="Q142"/>
  <c r="R142"/>
  <c r="S142"/>
  <c r="J146"/>
  <c r="K146"/>
  <c r="L146"/>
  <c r="M146"/>
  <c r="N146"/>
  <c r="O146"/>
  <c r="P146"/>
  <c r="Q146"/>
  <c r="R146"/>
  <c r="S146"/>
  <c r="J156"/>
  <c r="K156"/>
  <c r="L156"/>
  <c r="M156"/>
  <c r="N156"/>
  <c r="O156"/>
  <c r="P156"/>
  <c r="Q156"/>
  <c r="R156"/>
  <c r="S156"/>
  <c r="J160"/>
  <c r="K160"/>
  <c r="L160"/>
  <c r="M160"/>
  <c r="N160"/>
  <c r="O160"/>
  <c r="P160"/>
  <c r="Q160"/>
  <c r="R160"/>
  <c r="S160"/>
  <c r="J164"/>
  <c r="L164"/>
  <c r="M164"/>
  <c r="N164"/>
  <c r="O164"/>
  <c r="P164"/>
  <c r="Q164"/>
  <c r="R164"/>
  <c r="S164"/>
  <c r="J168"/>
  <c r="K168"/>
  <c r="L168"/>
  <c r="M168"/>
  <c r="N168"/>
  <c r="O168"/>
  <c r="P168"/>
  <c r="Q168"/>
  <c r="R168"/>
  <c r="S168"/>
  <c r="J179"/>
  <c r="K179"/>
  <c r="L179"/>
  <c r="M179"/>
  <c r="N179"/>
  <c r="O179"/>
  <c r="P179"/>
  <c r="Q179"/>
  <c r="R179"/>
  <c r="S179"/>
  <c r="J187"/>
  <c r="K187"/>
  <c r="L187"/>
  <c r="M187"/>
  <c r="N187"/>
  <c r="O187"/>
  <c r="P187"/>
  <c r="Q187"/>
  <c r="R187"/>
  <c r="S187"/>
  <c r="J191"/>
  <c r="K191"/>
  <c r="L191"/>
  <c r="M191"/>
  <c r="N191"/>
  <c r="O191"/>
  <c r="P191"/>
  <c r="Q191"/>
  <c r="R191"/>
  <c r="S191"/>
  <c r="K195"/>
  <c r="L195"/>
  <c r="M195"/>
  <c r="N195"/>
  <c r="O195"/>
  <c r="P195"/>
  <c r="Q195"/>
  <c r="R195"/>
  <c r="S195"/>
  <c r="J205"/>
  <c r="K205"/>
  <c r="L205"/>
  <c r="M205"/>
  <c r="N205"/>
  <c r="O205"/>
  <c r="P205"/>
  <c r="Q205"/>
  <c r="R205"/>
  <c r="S205"/>
  <c r="J209"/>
  <c r="K209"/>
  <c r="L209"/>
  <c r="M209"/>
  <c r="N209"/>
  <c r="O209"/>
  <c r="P209"/>
  <c r="Q209"/>
  <c r="R209"/>
  <c r="S209"/>
  <c r="F308"/>
  <c r="J290"/>
  <c r="K290"/>
  <c r="L290"/>
  <c r="M290"/>
  <c r="N290"/>
  <c r="O290"/>
  <c r="P290"/>
  <c r="Q290"/>
  <c r="R290"/>
  <c r="S290"/>
  <c r="J286"/>
  <c r="J288" s="1"/>
  <c r="K286"/>
  <c r="K288" s="1"/>
  <c r="L286"/>
  <c r="L288" s="1"/>
  <c r="M286"/>
  <c r="M288" s="1"/>
  <c r="N286"/>
  <c r="N288" s="1"/>
  <c r="O286"/>
  <c r="O288" s="1"/>
  <c r="P286"/>
  <c r="P288" s="1"/>
  <c r="Q286"/>
  <c r="Q288" s="1"/>
  <c r="R286"/>
  <c r="R288" s="1"/>
  <c r="S286"/>
  <c r="S288" s="1"/>
  <c r="J269"/>
  <c r="J271" s="1"/>
  <c r="K269"/>
  <c r="K271" s="1"/>
  <c r="L269"/>
  <c r="L271" s="1"/>
  <c r="M269"/>
  <c r="M271" s="1"/>
  <c r="N269"/>
  <c r="N271" s="1"/>
  <c r="O269"/>
  <c r="O271" s="1"/>
  <c r="P269"/>
  <c r="P271" s="1"/>
  <c r="Q269"/>
  <c r="Q271" s="1"/>
  <c r="R269"/>
  <c r="R271" s="1"/>
  <c r="S269"/>
  <c r="J265"/>
  <c r="K265"/>
  <c r="L265"/>
  <c r="M265"/>
  <c r="N265"/>
  <c r="O265"/>
  <c r="P265"/>
  <c r="Q265"/>
  <c r="R265"/>
  <c r="S265"/>
  <c r="J260"/>
  <c r="K260"/>
  <c r="L260"/>
  <c r="M260"/>
  <c r="N260"/>
  <c r="O260"/>
  <c r="P260"/>
  <c r="Q260"/>
  <c r="R260"/>
  <c r="S260"/>
  <c r="J256"/>
  <c r="K256"/>
  <c r="L256"/>
  <c r="M256"/>
  <c r="N256"/>
  <c r="O256"/>
  <c r="P256"/>
  <c r="Q256"/>
  <c r="R256"/>
  <c r="S256"/>
  <c r="J253"/>
  <c r="K253"/>
  <c r="L253"/>
  <c r="M253"/>
  <c r="N253"/>
  <c r="O253"/>
  <c r="P253"/>
  <c r="Q253"/>
  <c r="R253"/>
  <c r="S253"/>
  <c r="J248"/>
  <c r="K248"/>
  <c r="L248"/>
  <c r="M248"/>
  <c r="N248"/>
  <c r="O248"/>
  <c r="P248"/>
  <c r="Q248"/>
  <c r="R248"/>
  <c r="S248"/>
  <c r="J238"/>
  <c r="K238"/>
  <c r="L238"/>
  <c r="M238"/>
  <c r="N238"/>
  <c r="O238"/>
  <c r="P238"/>
  <c r="Q238"/>
  <c r="R238"/>
  <c r="S238"/>
  <c r="J228"/>
  <c r="K228"/>
  <c r="L228"/>
  <c r="M228"/>
  <c r="N228"/>
  <c r="O228"/>
  <c r="P228"/>
  <c r="Q228"/>
  <c r="R228"/>
  <c r="S228"/>
  <c r="J225"/>
  <c r="K225"/>
  <c r="L225"/>
  <c r="M225"/>
  <c r="N225"/>
  <c r="O225"/>
  <c r="P225"/>
  <c r="Q225"/>
  <c r="R225"/>
  <c r="S225"/>
  <c r="J221"/>
  <c r="K221"/>
  <c r="L221"/>
  <c r="M221"/>
  <c r="N221"/>
  <c r="O221"/>
  <c r="P221"/>
  <c r="Q221"/>
  <c r="R221"/>
  <c r="S221"/>
  <c r="J217"/>
  <c r="K217"/>
  <c r="L217"/>
  <c r="M217"/>
  <c r="N217"/>
  <c r="O217"/>
  <c r="P217"/>
  <c r="Q217"/>
  <c r="R217"/>
  <c r="S217"/>
  <c r="J213"/>
  <c r="K213"/>
  <c r="L213"/>
  <c r="M213"/>
  <c r="N213"/>
  <c r="O213"/>
  <c r="P213"/>
  <c r="Q213"/>
  <c r="R213"/>
  <c r="S213"/>
  <c r="J184"/>
  <c r="K184"/>
  <c r="L184"/>
  <c r="M184"/>
  <c r="N184"/>
  <c r="O184"/>
  <c r="P184"/>
  <c r="Q184"/>
  <c r="R184"/>
  <c r="S184"/>
  <c r="J174"/>
  <c r="K174"/>
  <c r="L174"/>
  <c r="M174"/>
  <c r="N174"/>
  <c r="O174"/>
  <c r="P174"/>
  <c r="Q174"/>
  <c r="R174"/>
  <c r="S174"/>
  <c r="J68"/>
  <c r="K68"/>
  <c r="L68"/>
  <c r="M68"/>
  <c r="N68"/>
  <c r="O68"/>
  <c r="P68"/>
  <c r="Q68"/>
  <c r="R68"/>
  <c r="S68"/>
  <c r="A253"/>
  <c r="BU118" l="1"/>
  <c r="BU142"/>
  <c r="BU121"/>
  <c r="BU119"/>
  <c r="BU146"/>
  <c r="BQ146"/>
  <c r="BU168"/>
  <c r="BQ168"/>
  <c r="BU174"/>
  <c r="BU179"/>
  <c r="BQ164"/>
  <c r="BQ160"/>
  <c r="BU159"/>
  <c r="BQ156"/>
  <c r="BN115"/>
  <c r="BQ115"/>
  <c r="BN96"/>
  <c r="BQ96"/>
  <c r="BU96" s="1"/>
  <c r="BN99"/>
  <c r="BQ99"/>
  <c r="BU99" s="1"/>
  <c r="BN132"/>
  <c r="BQ132"/>
  <c r="BL185"/>
  <c r="BN150"/>
  <c r="AM135"/>
  <c r="AY107"/>
  <c r="BL105"/>
  <c r="BD103"/>
  <c r="BL103"/>
  <c r="AY110"/>
  <c r="BL108"/>
  <c r="BA133"/>
  <c r="BL133"/>
  <c r="BD131"/>
  <c r="BL131"/>
  <c r="BD127"/>
  <c r="BL127"/>
  <c r="BD90"/>
  <c r="BL90"/>
  <c r="AY113"/>
  <c r="BL111"/>
  <c r="BA139"/>
  <c r="BD126"/>
  <c r="BL126"/>
  <c r="BD109"/>
  <c r="BL109"/>
  <c r="BD114"/>
  <c r="BL114"/>
  <c r="BD116"/>
  <c r="BL116"/>
  <c r="AY125"/>
  <c r="BL123"/>
  <c r="AY93"/>
  <c r="BL91"/>
  <c r="AY122"/>
  <c r="BL120"/>
  <c r="BD100"/>
  <c r="BL100"/>
  <c r="BD129"/>
  <c r="BL129"/>
  <c r="BD97"/>
  <c r="BL97"/>
  <c r="AY98"/>
  <c r="BA129"/>
  <c r="BA100"/>
  <c r="BA97"/>
  <c r="BA103"/>
  <c r="AY134"/>
  <c r="BA116"/>
  <c r="BD133"/>
  <c r="AY101"/>
  <c r="BA114"/>
  <c r="BA126"/>
  <c r="AY117"/>
  <c r="AY104"/>
  <c r="BD140"/>
  <c r="AD53"/>
  <c r="AD56" s="1"/>
  <c r="AU68"/>
  <c r="BD91"/>
  <c r="BD115"/>
  <c r="BD120"/>
  <c r="BD111"/>
  <c r="BD99"/>
  <c r="AY18"/>
  <c r="BD108"/>
  <c r="BD105"/>
  <c r="BD132"/>
  <c r="BD104"/>
  <c r="AU76"/>
  <c r="AU79" s="1"/>
  <c r="AU40"/>
  <c r="AU43" s="1"/>
  <c r="AU46"/>
  <c r="AU49" s="1"/>
  <c r="AU60"/>
  <c r="AU62" s="1"/>
  <c r="AU11"/>
  <c r="AU13" s="1"/>
  <c r="AU50"/>
  <c r="AU52" s="1"/>
  <c r="AU34"/>
  <c r="AU36" s="1"/>
  <c r="AU63"/>
  <c r="AU65" s="1"/>
  <c r="AC39"/>
  <c r="AU83"/>
  <c r="AU85" s="1"/>
  <c r="AU72"/>
  <c r="AU75" s="1"/>
  <c r="AU69"/>
  <c r="AU71" s="1"/>
  <c r="AU14"/>
  <c r="AU16" s="1"/>
  <c r="AU17"/>
  <c r="AU24" s="1"/>
  <c r="AU26" s="1"/>
  <c r="BA102"/>
  <c r="AU8"/>
  <c r="AU10" s="1"/>
  <c r="AD29"/>
  <c r="AU27"/>
  <c r="AU29" s="1"/>
  <c r="AU80"/>
  <c r="AU82" s="1"/>
  <c r="AU30"/>
  <c r="AU33" s="1"/>
  <c r="AU57"/>
  <c r="AU59" s="1"/>
  <c r="AC68"/>
  <c r="AC135"/>
  <c r="AQ113"/>
  <c r="AI68"/>
  <c r="AQ110"/>
  <c r="AQ107"/>
  <c r="AQ134"/>
  <c r="AQ125"/>
  <c r="AQ117"/>
  <c r="AQ122"/>
  <c r="AQ21"/>
  <c r="AY21" s="1"/>
  <c r="AQ93"/>
  <c r="AQ98"/>
  <c r="AQ101"/>
  <c r="AQ22"/>
  <c r="AY22" s="1"/>
  <c r="AQ38"/>
  <c r="AY38" s="1"/>
  <c r="AQ64"/>
  <c r="AQ20"/>
  <c r="AY20" s="1"/>
  <c r="AQ42"/>
  <c r="AQ28"/>
  <c r="AQ51"/>
  <c r="AY51" s="1"/>
  <c r="BL51" s="1"/>
  <c r="AQ9"/>
  <c r="AQ54"/>
  <c r="AQ67"/>
  <c r="AY67" s="1"/>
  <c r="BL67" s="1"/>
  <c r="AQ44"/>
  <c r="AQ19"/>
  <c r="AQ15"/>
  <c r="AY15" s="1"/>
  <c r="AQ58"/>
  <c r="AY58" s="1"/>
  <c r="BL58" s="1"/>
  <c r="AQ41"/>
  <c r="AQ87"/>
  <c r="AQ35"/>
  <c r="AQ12"/>
  <c r="AY12" s="1"/>
  <c r="AQ78"/>
  <c r="AY78" s="1"/>
  <c r="BL78" s="1"/>
  <c r="AQ86"/>
  <c r="AY86" s="1"/>
  <c r="BL86" s="1"/>
  <c r="AQ45"/>
  <c r="AY45" s="1"/>
  <c r="BL45" s="1"/>
  <c r="AQ23"/>
  <c r="AY23" s="1"/>
  <c r="AQ70"/>
  <c r="AQ77"/>
  <c r="AY77" s="1"/>
  <c r="BL77" s="1"/>
  <c r="AQ66"/>
  <c r="AY66" s="1"/>
  <c r="BL66" s="1"/>
  <c r="AQ81"/>
  <c r="AI27"/>
  <c r="AI29" s="1"/>
  <c r="AM27"/>
  <c r="AC27"/>
  <c r="AI30"/>
  <c r="AI33" s="1"/>
  <c r="AM30"/>
  <c r="AM33" s="1"/>
  <c r="AI8"/>
  <c r="AI10" s="1"/>
  <c r="AM8"/>
  <c r="Z8"/>
  <c r="AI46"/>
  <c r="AI49" s="1"/>
  <c r="AM46"/>
  <c r="AI11"/>
  <c r="AI13" s="1"/>
  <c r="AM11"/>
  <c r="AC11"/>
  <c r="AI76"/>
  <c r="AI79" s="1"/>
  <c r="AM76"/>
  <c r="AC76"/>
  <c r="AI50"/>
  <c r="AI52" s="1"/>
  <c r="AM50"/>
  <c r="AC50"/>
  <c r="AI53"/>
  <c r="AI56" s="1"/>
  <c r="AI34"/>
  <c r="AI36" s="1"/>
  <c r="AM34"/>
  <c r="AC34"/>
  <c r="AI63"/>
  <c r="AI65" s="1"/>
  <c r="AM63"/>
  <c r="AC63"/>
  <c r="S185"/>
  <c r="AD82"/>
  <c r="AM80"/>
  <c r="AC80"/>
  <c r="AI57"/>
  <c r="AI59" s="1"/>
  <c r="AM57"/>
  <c r="AC57"/>
  <c r="AI40"/>
  <c r="AI43" s="1"/>
  <c r="AM40"/>
  <c r="AC40"/>
  <c r="AI60"/>
  <c r="AI62" s="1"/>
  <c r="AM60"/>
  <c r="AM62" s="1"/>
  <c r="AC60"/>
  <c r="AM39"/>
  <c r="AM68"/>
  <c r="AI83"/>
  <c r="AI85" s="1"/>
  <c r="AM83"/>
  <c r="AM85" s="1"/>
  <c r="AC83"/>
  <c r="AI72"/>
  <c r="AI75" s="1"/>
  <c r="AM72"/>
  <c r="AM75" s="1"/>
  <c r="AC72"/>
  <c r="AI69"/>
  <c r="AI71" s="1"/>
  <c r="AM69"/>
  <c r="AC69"/>
  <c r="AD16"/>
  <c r="AM14"/>
  <c r="AC14"/>
  <c r="AI17"/>
  <c r="AI24" s="1"/>
  <c r="AI26" s="1"/>
  <c r="AM17"/>
  <c r="AC17"/>
  <c r="AG68"/>
  <c r="AG80"/>
  <c r="AG82" s="1"/>
  <c r="AI80"/>
  <c r="AI82" s="1"/>
  <c r="AG14"/>
  <c r="AG16" s="1"/>
  <c r="AI14"/>
  <c r="AI16" s="1"/>
  <c r="AD52"/>
  <c r="AG50"/>
  <c r="AG52" s="1"/>
  <c r="AD36"/>
  <c r="AG34"/>
  <c r="AG36" s="1"/>
  <c r="AD65"/>
  <c r="AG63"/>
  <c r="AG65" s="1"/>
  <c r="AG27"/>
  <c r="AG29" s="1"/>
  <c r="AG30"/>
  <c r="AG33" s="1"/>
  <c r="AD59"/>
  <c r="AG57"/>
  <c r="AG59" s="1"/>
  <c r="AD10"/>
  <c r="AG8"/>
  <c r="AG10" s="1"/>
  <c r="AD13"/>
  <c r="AG11"/>
  <c r="AG13" s="1"/>
  <c r="AD79"/>
  <c r="AG76"/>
  <c r="AG79" s="1"/>
  <c r="AG83"/>
  <c r="AG85" s="1"/>
  <c r="AD43"/>
  <c r="AG40"/>
  <c r="AG43" s="1"/>
  <c r="AG72"/>
  <c r="AG75" s="1"/>
  <c r="AD49"/>
  <c r="AG46"/>
  <c r="AG49" s="1"/>
  <c r="AD71"/>
  <c r="AG69"/>
  <c r="AG71" s="1"/>
  <c r="AG60"/>
  <c r="AG62" s="1"/>
  <c r="AD24"/>
  <c r="AG17"/>
  <c r="AG24" s="1"/>
  <c r="AG26" s="1"/>
  <c r="S271"/>
  <c r="R6"/>
  <c r="X6" s="1"/>
  <c r="AD6" s="1"/>
  <c r="M240"/>
  <c r="O240"/>
  <c r="P262"/>
  <c r="R5"/>
  <c r="X5" s="1"/>
  <c r="X7" s="1"/>
  <c r="X89" s="1"/>
  <c r="X310" s="1"/>
  <c r="L135"/>
  <c r="M7"/>
  <c r="M89" s="1"/>
  <c r="Q7"/>
  <c r="Q89" s="1"/>
  <c r="M135"/>
  <c r="K135"/>
  <c r="S135"/>
  <c r="N135"/>
  <c r="P135"/>
  <c r="J135"/>
  <c r="R135"/>
  <c r="Q135"/>
  <c r="O135"/>
  <c r="O185"/>
  <c r="Q185"/>
  <c r="P185"/>
  <c r="K223"/>
  <c r="J223"/>
  <c r="N240"/>
  <c r="O262"/>
  <c r="N185"/>
  <c r="N262"/>
  <c r="O89"/>
  <c r="M185"/>
  <c r="L240"/>
  <c r="M262"/>
  <c r="N89"/>
  <c r="L185"/>
  <c r="K240"/>
  <c r="L262"/>
  <c r="K185"/>
  <c r="J240"/>
  <c r="K262"/>
  <c r="L223"/>
  <c r="J262"/>
  <c r="R185"/>
  <c r="K89"/>
  <c r="J89"/>
  <c r="J185"/>
  <c r="S240"/>
  <c r="R240"/>
  <c r="S262"/>
  <c r="Q240"/>
  <c r="R262"/>
  <c r="S89"/>
  <c r="P240"/>
  <c r="Q262"/>
  <c r="P89"/>
  <c r="L89"/>
  <c r="BQ45" l="1"/>
  <c r="AC53"/>
  <c r="AC56" s="1"/>
  <c r="AG53"/>
  <c r="AG56" s="1"/>
  <c r="BU2"/>
  <c r="BQ120"/>
  <c r="BQ105"/>
  <c r="BU107" s="1"/>
  <c r="BQ114"/>
  <c r="BU160"/>
  <c r="BQ111"/>
  <c r="BU111" s="1"/>
  <c r="BQ133"/>
  <c r="BQ103"/>
  <c r="BQ104" s="1"/>
  <c r="BQ123"/>
  <c r="BQ97"/>
  <c r="BU97" s="1"/>
  <c r="BQ100"/>
  <c r="BQ101" s="1"/>
  <c r="BQ91"/>
  <c r="BU93" s="1"/>
  <c r="BQ116"/>
  <c r="BU156"/>
  <c r="BU164"/>
  <c r="BU101"/>
  <c r="BU117"/>
  <c r="BU104"/>
  <c r="BQ185"/>
  <c r="BN77"/>
  <c r="BQ77"/>
  <c r="BN86"/>
  <c r="BQ86"/>
  <c r="BN58"/>
  <c r="BQ58"/>
  <c r="BN67"/>
  <c r="BQ67"/>
  <c r="BU67" s="1"/>
  <c r="BN90"/>
  <c r="BQ90"/>
  <c r="BU90" s="1"/>
  <c r="BN127"/>
  <c r="BQ127"/>
  <c r="BN131"/>
  <c r="BQ131"/>
  <c r="BN66"/>
  <c r="BN68" s="1"/>
  <c r="BQ66"/>
  <c r="BN78"/>
  <c r="BN51"/>
  <c r="BQ51"/>
  <c r="BN129"/>
  <c r="BQ129"/>
  <c r="BN109"/>
  <c r="BQ109"/>
  <c r="BN126"/>
  <c r="BQ126"/>
  <c r="BN108"/>
  <c r="BN110" s="1"/>
  <c r="BQ108"/>
  <c r="BL113"/>
  <c r="BN111"/>
  <c r="BN113" s="1"/>
  <c r="BL134"/>
  <c r="BN133"/>
  <c r="BN134" s="1"/>
  <c r="BL98"/>
  <c r="BN97"/>
  <c r="BN98" s="1"/>
  <c r="BL101"/>
  <c r="BN100"/>
  <c r="BN101" s="1"/>
  <c r="BL122"/>
  <c r="BN120"/>
  <c r="BN122" s="1"/>
  <c r="BL93"/>
  <c r="BN91"/>
  <c r="BN93" s="1"/>
  <c r="BL125"/>
  <c r="BN123"/>
  <c r="BN125" s="1"/>
  <c r="BL117"/>
  <c r="BN116"/>
  <c r="BN117" s="1"/>
  <c r="BN114"/>
  <c r="BL104"/>
  <c r="BN103"/>
  <c r="BN104" s="1"/>
  <c r="BL107"/>
  <c r="BN105"/>
  <c r="BN107" s="1"/>
  <c r="BN152"/>
  <c r="BN151"/>
  <c r="AQ135"/>
  <c r="AY135"/>
  <c r="BL68"/>
  <c r="BD23"/>
  <c r="BL23"/>
  <c r="BD12"/>
  <c r="BL12"/>
  <c r="AY39"/>
  <c r="BL38"/>
  <c r="BD18"/>
  <c r="BL18"/>
  <c r="BL110"/>
  <c r="BD20"/>
  <c r="BL20"/>
  <c r="BD15"/>
  <c r="BL15"/>
  <c r="BD22"/>
  <c r="BL22"/>
  <c r="BD21"/>
  <c r="BL21"/>
  <c r="BA104"/>
  <c r="AY68"/>
  <c r="AU53"/>
  <c r="AU56" s="1"/>
  <c r="AY35"/>
  <c r="BA35" s="1"/>
  <c r="AY54"/>
  <c r="AY42"/>
  <c r="AY87"/>
  <c r="BA87" s="1"/>
  <c r="AY70"/>
  <c r="BA70" s="1"/>
  <c r="AY41"/>
  <c r="AY44"/>
  <c r="AY64"/>
  <c r="AY81"/>
  <c r="BD141"/>
  <c r="BA141"/>
  <c r="BA142" s="1"/>
  <c r="BA18"/>
  <c r="AM53"/>
  <c r="AM56" s="1"/>
  <c r="BD78"/>
  <c r="BD51"/>
  <c r="BD107"/>
  <c r="BD96"/>
  <c r="AQ30"/>
  <c r="AQ33" s="1"/>
  <c r="BD77"/>
  <c r="BA86"/>
  <c r="AY19"/>
  <c r="AY9"/>
  <c r="BD110"/>
  <c r="BD113"/>
  <c r="BD117"/>
  <c r="BD66"/>
  <c r="BD45"/>
  <c r="BD134"/>
  <c r="BD123"/>
  <c r="BD58"/>
  <c r="BD67"/>
  <c r="AY28"/>
  <c r="BD38"/>
  <c r="BD101"/>
  <c r="BD122"/>
  <c r="BD93"/>
  <c r="AU6"/>
  <c r="BA45"/>
  <c r="BN45" s="1"/>
  <c r="BA15"/>
  <c r="BA22"/>
  <c r="BA21"/>
  <c r="BA111"/>
  <c r="BA113" s="1"/>
  <c r="BA105"/>
  <c r="BA107" s="1"/>
  <c r="BA108"/>
  <c r="BA110" s="1"/>
  <c r="AC71"/>
  <c r="AC13"/>
  <c r="AC59"/>
  <c r="AC36"/>
  <c r="BA23"/>
  <c r="BA12"/>
  <c r="BA120"/>
  <c r="BA122" s="1"/>
  <c r="BA91"/>
  <c r="BA93" s="1"/>
  <c r="AC16"/>
  <c r="BA78"/>
  <c r="BO78" s="1"/>
  <c r="BO79" s="1"/>
  <c r="BO89" s="1"/>
  <c r="BO310" s="1"/>
  <c r="BA51"/>
  <c r="BA96"/>
  <c r="BA98" s="1"/>
  <c r="BA132"/>
  <c r="BA134" s="1"/>
  <c r="AC43"/>
  <c r="AC79"/>
  <c r="AC65"/>
  <c r="AC52"/>
  <c r="AC82"/>
  <c r="BA77"/>
  <c r="BA20"/>
  <c r="BA99"/>
  <c r="BA101" s="1"/>
  <c r="AC29"/>
  <c r="BA115"/>
  <c r="BA117" s="1"/>
  <c r="BA123"/>
  <c r="BA125" s="1"/>
  <c r="AC75"/>
  <c r="AC85"/>
  <c r="AQ39"/>
  <c r="AQ68"/>
  <c r="AQ17"/>
  <c r="AY17" s="1"/>
  <c r="BL17" s="1"/>
  <c r="AQ83"/>
  <c r="AQ57"/>
  <c r="AY57" s="1"/>
  <c r="AQ34"/>
  <c r="AY34" s="1"/>
  <c r="AQ72"/>
  <c r="AQ40"/>
  <c r="AY40" s="1"/>
  <c r="BL40" s="1"/>
  <c r="AQ63"/>
  <c r="AY63" s="1"/>
  <c r="BL63" s="1"/>
  <c r="AQ76"/>
  <c r="AY76" s="1"/>
  <c r="AQ11"/>
  <c r="AY11" s="1"/>
  <c r="BL11" s="1"/>
  <c r="AQ14"/>
  <c r="AY14" s="1"/>
  <c r="BL14" s="1"/>
  <c r="AQ80"/>
  <c r="AY80" s="1"/>
  <c r="BL80" s="1"/>
  <c r="AQ46"/>
  <c r="AY46" s="1"/>
  <c r="AQ69"/>
  <c r="AY69" s="1"/>
  <c r="AQ60"/>
  <c r="AQ50"/>
  <c r="AY50" s="1"/>
  <c r="AQ8"/>
  <c r="AQ27"/>
  <c r="AY27" s="1"/>
  <c r="BL27" s="1"/>
  <c r="AD26"/>
  <c r="AC24"/>
  <c r="AM16"/>
  <c r="AM71"/>
  <c r="AM43"/>
  <c r="AM59"/>
  <c r="AM82"/>
  <c r="AM65"/>
  <c r="AM36"/>
  <c r="AM52"/>
  <c r="AM79"/>
  <c r="AM13"/>
  <c r="AM49"/>
  <c r="AM6"/>
  <c r="Z6"/>
  <c r="AB6" s="1"/>
  <c r="AC6" s="1"/>
  <c r="Z10"/>
  <c r="AB8"/>
  <c r="AM24"/>
  <c r="AM26" s="1"/>
  <c r="AM10"/>
  <c r="AM29"/>
  <c r="AG6"/>
  <c r="AI6"/>
  <c r="AD5"/>
  <c r="R7"/>
  <c r="R89" s="1"/>
  <c r="F310"/>
  <c r="J310"/>
  <c r="M223"/>
  <c r="M310" s="1"/>
  <c r="K310"/>
  <c r="L310"/>
  <c r="BQ122" l="1"/>
  <c r="BU120"/>
  <c r="BU113"/>
  <c r="BU185"/>
  <c r="BU98"/>
  <c r="BQ93"/>
  <c r="BQ113"/>
  <c r="BQ107"/>
  <c r="BQ134"/>
  <c r="BU134"/>
  <c r="BQ98"/>
  <c r="BU125"/>
  <c r="BQ21"/>
  <c r="BQ15"/>
  <c r="BQ22"/>
  <c r="BQ117"/>
  <c r="BQ125"/>
  <c r="BQ11"/>
  <c r="BU11" s="1"/>
  <c r="BQ38"/>
  <c r="BU38" s="1"/>
  <c r="BQ110"/>
  <c r="BU110"/>
  <c r="BQ68"/>
  <c r="BU66"/>
  <c r="BN135"/>
  <c r="BN27"/>
  <c r="BQ27"/>
  <c r="BU27" s="1"/>
  <c r="BN80"/>
  <c r="BQ80"/>
  <c r="BU80" s="1"/>
  <c r="BN63"/>
  <c r="BQ63"/>
  <c r="BN17"/>
  <c r="BQ17"/>
  <c r="BU17" s="1"/>
  <c r="BS78"/>
  <c r="BN20"/>
  <c r="BQ20"/>
  <c r="BN18"/>
  <c r="BQ18"/>
  <c r="BN14"/>
  <c r="BQ14"/>
  <c r="BN40"/>
  <c r="BQ40"/>
  <c r="BN12"/>
  <c r="BQ12"/>
  <c r="BN23"/>
  <c r="BQ23"/>
  <c r="BQ78"/>
  <c r="BL13"/>
  <c r="BN11"/>
  <c r="BN21"/>
  <c r="BN22"/>
  <c r="BN15"/>
  <c r="BL135"/>
  <c r="BL39"/>
  <c r="BN38"/>
  <c r="BN39" s="1"/>
  <c r="BN153"/>
  <c r="BL16"/>
  <c r="BA135"/>
  <c r="AQ53"/>
  <c r="AY53" s="1"/>
  <c r="AY56" s="1"/>
  <c r="AY49"/>
  <c r="BL46"/>
  <c r="BA81"/>
  <c r="BL81"/>
  <c r="BD70"/>
  <c r="BL70"/>
  <c r="BD35"/>
  <c r="BL35"/>
  <c r="AY52"/>
  <c r="BL50"/>
  <c r="AY79"/>
  <c r="BL76"/>
  <c r="AY36"/>
  <c r="BL34"/>
  <c r="BD9"/>
  <c r="BL9"/>
  <c r="BD64"/>
  <c r="BL64"/>
  <c r="BD87"/>
  <c r="BL87"/>
  <c r="AY59"/>
  <c r="BL57"/>
  <c r="BD44"/>
  <c r="BL44"/>
  <c r="BD42"/>
  <c r="BL42"/>
  <c r="AY71"/>
  <c r="BL69"/>
  <c r="BA28"/>
  <c r="BL28"/>
  <c r="BD19"/>
  <c r="BL19"/>
  <c r="BA41"/>
  <c r="BL41"/>
  <c r="BD54"/>
  <c r="BL54"/>
  <c r="AY43"/>
  <c r="BD41"/>
  <c r="BA19"/>
  <c r="AY65"/>
  <c r="BA64"/>
  <c r="AY83"/>
  <c r="BD83" s="1"/>
  <c r="BD85" s="1"/>
  <c r="AQ85"/>
  <c r="AY72"/>
  <c r="AQ75"/>
  <c r="BA54"/>
  <c r="AY60"/>
  <c r="AQ62"/>
  <c r="AY82"/>
  <c r="BA9"/>
  <c r="BA44"/>
  <c r="BA42"/>
  <c r="BD81"/>
  <c r="BD142"/>
  <c r="AY30"/>
  <c r="BA67"/>
  <c r="BD80"/>
  <c r="BD98"/>
  <c r="BD11"/>
  <c r="AY13"/>
  <c r="BD50"/>
  <c r="BD52" s="1"/>
  <c r="BD34"/>
  <c r="BA58"/>
  <c r="BD46"/>
  <c r="BD28"/>
  <c r="BD86"/>
  <c r="AY8"/>
  <c r="BL8" s="1"/>
  <c r="BD17"/>
  <c r="AY24"/>
  <c r="AY26" s="1"/>
  <c r="BD27"/>
  <c r="AY29"/>
  <c r="BD69"/>
  <c r="BD14"/>
  <c r="AY16"/>
  <c r="BD40"/>
  <c r="BD39"/>
  <c r="BD125"/>
  <c r="BD68"/>
  <c r="AU5"/>
  <c r="AU7" s="1"/>
  <c r="AU89" s="1"/>
  <c r="AU310" s="1"/>
  <c r="AC26"/>
  <c r="BA66"/>
  <c r="BA38"/>
  <c r="BA39" s="1"/>
  <c r="AQ29"/>
  <c r="AQ79"/>
  <c r="AQ36"/>
  <c r="AQ49"/>
  <c r="AQ13"/>
  <c r="AQ24"/>
  <c r="AQ52"/>
  <c r="AQ16"/>
  <c r="AQ43"/>
  <c r="AQ10"/>
  <c r="AQ71"/>
  <c r="AQ82"/>
  <c r="AQ65"/>
  <c r="AQ59"/>
  <c r="AQ6"/>
  <c r="AM5"/>
  <c r="Z5"/>
  <c r="AB10"/>
  <c r="AC10" s="1"/>
  <c r="AC8"/>
  <c r="AG5"/>
  <c r="AG7" s="1"/>
  <c r="AI5"/>
  <c r="AI7" s="1"/>
  <c r="AI89" s="1"/>
  <c r="AI310" s="1"/>
  <c r="AD7"/>
  <c r="AD89" s="1"/>
  <c r="N223"/>
  <c r="N310" s="1"/>
  <c r="BD135" l="1"/>
  <c r="BQ44"/>
  <c r="BU44" s="1"/>
  <c r="BU122"/>
  <c r="BU135" s="1"/>
  <c r="BU21"/>
  <c r="BU20"/>
  <c r="BU23"/>
  <c r="BU18"/>
  <c r="BU39"/>
  <c r="BQ39"/>
  <c r="AQ56"/>
  <c r="BN44"/>
  <c r="BQ41"/>
  <c r="BU41" s="1"/>
  <c r="BQ57"/>
  <c r="BQ64"/>
  <c r="BU65" s="1"/>
  <c r="BQ8"/>
  <c r="BU8" s="1"/>
  <c r="BQ135"/>
  <c r="BQ28"/>
  <c r="BU29" s="1"/>
  <c r="BQ50"/>
  <c r="BQ52" s="1"/>
  <c r="BQ54"/>
  <c r="BQ19"/>
  <c r="BU19" s="1"/>
  <c r="BQ69"/>
  <c r="BQ76"/>
  <c r="BU76" s="1"/>
  <c r="BQ35"/>
  <c r="BQ81"/>
  <c r="BU81" s="1"/>
  <c r="BU68"/>
  <c r="BQ42"/>
  <c r="BU42" s="1"/>
  <c r="BQ46"/>
  <c r="BN13"/>
  <c r="BN16"/>
  <c r="BU52"/>
  <c r="BQ13"/>
  <c r="BU12"/>
  <c r="BQ16"/>
  <c r="BS79"/>
  <c r="BS89" s="1"/>
  <c r="BU78"/>
  <c r="BP89"/>
  <c r="BN87"/>
  <c r="BQ87"/>
  <c r="BN9"/>
  <c r="BQ9"/>
  <c r="BN34"/>
  <c r="BQ34"/>
  <c r="BN70"/>
  <c r="BQ70"/>
  <c r="BL10"/>
  <c r="BN8"/>
  <c r="BN54"/>
  <c r="BL43"/>
  <c r="BN41"/>
  <c r="BL24"/>
  <c r="BN19"/>
  <c r="BN24" s="1"/>
  <c r="BL29"/>
  <c r="BN28"/>
  <c r="BN29" s="1"/>
  <c r="BL71"/>
  <c r="BN69"/>
  <c r="BN71" s="1"/>
  <c r="BN42"/>
  <c r="BL59"/>
  <c r="BN57"/>
  <c r="BN59" s="1"/>
  <c r="BL65"/>
  <c r="BN64"/>
  <c r="BN65" s="1"/>
  <c r="BL79"/>
  <c r="BN76"/>
  <c r="BN79" s="1"/>
  <c r="BL52"/>
  <c r="BN50"/>
  <c r="BN52" s="1"/>
  <c r="BN35"/>
  <c r="BL82"/>
  <c r="BN81"/>
  <c r="BN82" s="1"/>
  <c r="BL49"/>
  <c r="BN46"/>
  <c r="BN49" s="1"/>
  <c r="BN154"/>
  <c r="BL36"/>
  <c r="BL53"/>
  <c r="AG89"/>
  <c r="AG310" s="1"/>
  <c r="AY62"/>
  <c r="BL60"/>
  <c r="AY33"/>
  <c r="BL30"/>
  <c r="AY85"/>
  <c r="BL83"/>
  <c r="AY75"/>
  <c r="BL72"/>
  <c r="BD30"/>
  <c r="BD33" s="1"/>
  <c r="BD60"/>
  <c r="BD62" s="1"/>
  <c r="BD143"/>
  <c r="BA143"/>
  <c r="BA30"/>
  <c r="BA33" s="1"/>
  <c r="BA68"/>
  <c r="BD8"/>
  <c r="AY10"/>
  <c r="BD43"/>
  <c r="BD71"/>
  <c r="BD24"/>
  <c r="BD26" s="1"/>
  <c r="BD72"/>
  <c r="BD75" s="1"/>
  <c r="BD76"/>
  <c r="BD13"/>
  <c r="BD63"/>
  <c r="BD49"/>
  <c r="BD36"/>
  <c r="BD82"/>
  <c r="AY6"/>
  <c r="BD16"/>
  <c r="BD29"/>
  <c r="BD53"/>
  <c r="BD57"/>
  <c r="BA63"/>
  <c r="BA65" s="1"/>
  <c r="BA76"/>
  <c r="BA79" s="1"/>
  <c r="BA57"/>
  <c r="BA59" s="1"/>
  <c r="BA80"/>
  <c r="BA82" s="1"/>
  <c r="BA8"/>
  <c r="BA10" s="1"/>
  <c r="BA53"/>
  <c r="BA56" s="1"/>
  <c r="BA40"/>
  <c r="BA43" s="1"/>
  <c r="BA69"/>
  <c r="BA71" s="1"/>
  <c r="BA11"/>
  <c r="BA13" s="1"/>
  <c r="BA34"/>
  <c r="BA36" s="1"/>
  <c r="BA60"/>
  <c r="BA62" s="1"/>
  <c r="BA72"/>
  <c r="BA75" s="1"/>
  <c r="BA50"/>
  <c r="BA52" s="1"/>
  <c r="BA83"/>
  <c r="BA85" s="1"/>
  <c r="BA14"/>
  <c r="BA16" s="1"/>
  <c r="BA27"/>
  <c r="BA29" s="1"/>
  <c r="BA17"/>
  <c r="BA24" s="1"/>
  <c r="BA26" s="1"/>
  <c r="BA46"/>
  <c r="BA49" s="1"/>
  <c r="AQ26"/>
  <c r="AQ5"/>
  <c r="AY5" s="1"/>
  <c r="BL5" s="1"/>
  <c r="AM7"/>
  <c r="AM89" s="1"/>
  <c r="AM310" s="1"/>
  <c r="AB5"/>
  <c r="Z7"/>
  <c r="Z89" s="1"/>
  <c r="O223"/>
  <c r="O310" s="1"/>
  <c r="BU13" l="1"/>
  <c r="BU54"/>
  <c r="BQ49"/>
  <c r="BU46"/>
  <c r="BU57"/>
  <c r="BQ79"/>
  <c r="BQ59"/>
  <c r="BU82"/>
  <c r="BQ82"/>
  <c r="BQ24"/>
  <c r="BQ26" s="1"/>
  <c r="BU43"/>
  <c r="BQ43"/>
  <c r="BQ83"/>
  <c r="BQ72"/>
  <c r="BQ75" s="1"/>
  <c r="BQ30"/>
  <c r="BU30" s="1"/>
  <c r="BQ65"/>
  <c r="BQ60"/>
  <c r="BU62" s="1"/>
  <c r="BL56"/>
  <c r="BQ29"/>
  <c r="BU79"/>
  <c r="BS310"/>
  <c r="BQ71"/>
  <c r="BQ36"/>
  <c r="BQ10"/>
  <c r="BU9"/>
  <c r="BN10"/>
  <c r="BN43"/>
  <c r="BN36"/>
  <c r="BN5"/>
  <c r="BQ5"/>
  <c r="BU5" s="1"/>
  <c r="BN53"/>
  <c r="BN56" s="1"/>
  <c r="BQ53"/>
  <c r="BU53" s="1"/>
  <c r="BL85"/>
  <c r="BN83"/>
  <c r="BN85" s="1"/>
  <c r="BL33"/>
  <c r="BN30"/>
  <c r="BN33" s="1"/>
  <c r="BL26"/>
  <c r="BN26"/>
  <c r="BL75"/>
  <c r="BN72"/>
  <c r="BN75" s="1"/>
  <c r="BL62"/>
  <c r="BN60"/>
  <c r="BN62" s="1"/>
  <c r="BN155"/>
  <c r="BN156" s="1"/>
  <c r="BD6"/>
  <c r="BL6"/>
  <c r="BD144"/>
  <c r="BA144"/>
  <c r="BD5"/>
  <c r="AY7"/>
  <c r="BD59"/>
  <c r="BA6"/>
  <c r="BD56"/>
  <c r="BD65"/>
  <c r="BD79"/>
  <c r="BD10"/>
  <c r="AQ7"/>
  <c r="AQ89" s="1"/>
  <c r="AQ310" s="1"/>
  <c r="AB7"/>
  <c r="AC7" s="1"/>
  <c r="AC5"/>
  <c r="AD310"/>
  <c r="AB89"/>
  <c r="AC89" s="1"/>
  <c r="Z310"/>
  <c r="P223"/>
  <c r="P310" s="1"/>
  <c r="BU49" l="1"/>
  <c r="BQ85"/>
  <c r="BU83"/>
  <c r="BU10"/>
  <c r="BU7"/>
  <c r="BU59"/>
  <c r="BU24"/>
  <c r="BU26" s="1"/>
  <c r="BQ62"/>
  <c r="BU72"/>
  <c r="BU33"/>
  <c r="BU71"/>
  <c r="BQ6"/>
  <c r="BQ7" s="1"/>
  <c r="BQ33"/>
  <c r="BU36"/>
  <c r="BQ56"/>
  <c r="BR89"/>
  <c r="BL7"/>
  <c r="BN6"/>
  <c r="BN7" s="1"/>
  <c r="BN89" s="1"/>
  <c r="BN158"/>
  <c r="BN157"/>
  <c r="AY89"/>
  <c r="AY310" s="1"/>
  <c r="BD145"/>
  <c r="BA145"/>
  <c r="BA146" s="1"/>
  <c r="BD7"/>
  <c r="BD89" s="1"/>
  <c r="BA5"/>
  <c r="BA7" s="1"/>
  <c r="BA89" s="1"/>
  <c r="AB310"/>
  <c r="AC310" s="1"/>
  <c r="Q223"/>
  <c r="Q310" s="1"/>
  <c r="R223"/>
  <c r="BU85" l="1"/>
  <c r="BU75"/>
  <c r="BQ89"/>
  <c r="BU56"/>
  <c r="BT89"/>
  <c r="BL89"/>
  <c r="BN159"/>
  <c r="BN160" s="1"/>
  <c r="BD146"/>
  <c r="R310"/>
  <c r="S223"/>
  <c r="BU89" l="1"/>
  <c r="BU310" s="1"/>
  <c r="BV89"/>
  <c r="BQ310"/>
  <c r="BL310"/>
  <c r="BA147"/>
  <c r="BD147"/>
  <c r="S310"/>
  <c r="BN161" l="1"/>
  <c r="BD148"/>
  <c r="BA148"/>
  <c r="BN162" l="1"/>
  <c r="BA150"/>
  <c r="BD150"/>
  <c r="BD149"/>
  <c r="BA149"/>
  <c r="BN163" l="1"/>
  <c r="BN164" s="1"/>
  <c r="BD152"/>
  <c r="BA152"/>
  <c r="BD151"/>
  <c r="BA151"/>
  <c r="BN165" l="1"/>
  <c r="BD153"/>
  <c r="BA153"/>
  <c r="BN167" l="1"/>
  <c r="BN166"/>
  <c r="BD155"/>
  <c r="BA155"/>
  <c r="BD154"/>
  <c r="BA154"/>
  <c r="BN168" l="1"/>
  <c r="BA156"/>
  <c r="BD157"/>
  <c r="BA157"/>
  <c r="BD156"/>
  <c r="BN169" l="1"/>
  <c r="BD159"/>
  <c r="BA159"/>
  <c r="BD158"/>
  <c r="BA158"/>
  <c r="BN170" l="1"/>
  <c r="BN171"/>
  <c r="BA160"/>
  <c r="BD160"/>
  <c r="BN173" l="1"/>
  <c r="BN172"/>
  <c r="BA161"/>
  <c r="BD161"/>
  <c r="BN174" l="1"/>
  <c r="BD162"/>
  <c r="BA162"/>
  <c r="BN175" l="1"/>
  <c r="BD163"/>
  <c r="BA163"/>
  <c r="BA164" s="1"/>
  <c r="BN176" l="1"/>
  <c r="BN177"/>
  <c r="BD164"/>
  <c r="BD165"/>
  <c r="BA165"/>
  <c r="BN178" l="1"/>
  <c r="BN179" s="1"/>
  <c r="BD166"/>
  <c r="BA166"/>
  <c r="BN180" l="1"/>
  <c r="BA167"/>
  <c r="BA168" s="1"/>
  <c r="BD167"/>
  <c r="BN182" l="1"/>
  <c r="BN181"/>
  <c r="BD168"/>
  <c r="BD169"/>
  <c r="BA169"/>
  <c r="BD170"/>
  <c r="BE2"/>
  <c r="BA170"/>
  <c r="BN183" l="1"/>
  <c r="BN184" s="1"/>
  <c r="BN185" s="1"/>
  <c r="BD171"/>
  <c r="BA171"/>
  <c r="BA173" l="1"/>
  <c r="BD173"/>
  <c r="BD172"/>
  <c r="BA172"/>
  <c r="BN186" l="1"/>
  <c r="BN187" s="1"/>
  <c r="BA174"/>
  <c r="BA175"/>
  <c r="BD175"/>
  <c r="BD174"/>
  <c r="BN188" l="1"/>
  <c r="BD177"/>
  <c r="BA177"/>
  <c r="BA176"/>
  <c r="BD176"/>
  <c r="BN189" l="1"/>
  <c r="BD178"/>
  <c r="BA178"/>
  <c r="BA179" s="1"/>
  <c r="BN190" l="1"/>
  <c r="BN191" s="1"/>
  <c r="BD179"/>
  <c r="BD180"/>
  <c r="BA180"/>
  <c r="BN193" l="1"/>
  <c r="BN192"/>
  <c r="BD181"/>
  <c r="BA181"/>
  <c r="BD182"/>
  <c r="BA182"/>
  <c r="BN194" l="1"/>
  <c r="BN195" s="1"/>
  <c r="BD183"/>
  <c r="BA183"/>
  <c r="BA184" s="1"/>
  <c r="BA185" s="1"/>
  <c r="BD184" l="1"/>
  <c r="BD185" s="1"/>
  <c r="BD186"/>
  <c r="BA186"/>
  <c r="BA187" s="1"/>
  <c r="BN196" l="1"/>
  <c r="BN197"/>
  <c r="BD187"/>
  <c r="BD188"/>
  <c r="BA188"/>
  <c r="BN199" l="1"/>
  <c r="BN198"/>
  <c r="BD189"/>
  <c r="BA189"/>
  <c r="BN200" l="1"/>
  <c r="BD190"/>
  <c r="BA190"/>
  <c r="BA191" s="1"/>
  <c r="BN201" l="1"/>
  <c r="BN202"/>
  <c r="BD191"/>
  <c r="BD193"/>
  <c r="BA193"/>
  <c r="BA192"/>
  <c r="BD192"/>
  <c r="BN204" l="1"/>
  <c r="BN203"/>
  <c r="BA194"/>
  <c r="BA195" s="1"/>
  <c r="BD194"/>
  <c r="BN205" l="1"/>
  <c r="BD195"/>
  <c r="BN207" l="1"/>
  <c r="BN206"/>
  <c r="BD196"/>
  <c r="BA196"/>
  <c r="BN208" l="1"/>
  <c r="BN209" s="1"/>
  <c r="BD197"/>
  <c r="BA197"/>
  <c r="BN210" l="1"/>
  <c r="BD199"/>
  <c r="BA199"/>
  <c r="BD198"/>
  <c r="BA198"/>
  <c r="BN211" l="1"/>
  <c r="BD201"/>
  <c r="BA201"/>
  <c r="BA200"/>
  <c r="BD200"/>
  <c r="BN212" l="1"/>
  <c r="BN213" s="1"/>
  <c r="BD203"/>
  <c r="BA203"/>
  <c r="BD202"/>
  <c r="BA202"/>
  <c r="BN215" l="1"/>
  <c r="BN214"/>
  <c r="BA204"/>
  <c r="BA205" s="1"/>
  <c r="BD204"/>
  <c r="BN216" l="1"/>
  <c r="BN217" s="1"/>
  <c r="BD205"/>
  <c r="BD207"/>
  <c r="BA207"/>
  <c r="BD206"/>
  <c r="BA206"/>
  <c r="BN218" l="1"/>
  <c r="BD208"/>
  <c r="BA208"/>
  <c r="BA209" s="1"/>
  <c r="BN220" l="1"/>
  <c r="BN219"/>
  <c r="BD209"/>
  <c r="BN221" l="1"/>
  <c r="BN222"/>
  <c r="BD210"/>
  <c r="BA210"/>
  <c r="BN223" l="1"/>
  <c r="BA212"/>
  <c r="BD212"/>
  <c r="BD211"/>
  <c r="BA211"/>
  <c r="BN224" l="1"/>
  <c r="BN225" s="1"/>
  <c r="BP224"/>
  <c r="BP225" s="1"/>
  <c r="BP310" s="1"/>
  <c r="BA213"/>
  <c r="BD213"/>
  <c r="BT224" l="1"/>
  <c r="BR224"/>
  <c r="BR225" s="1"/>
  <c r="BR310" s="1"/>
  <c r="BD215"/>
  <c r="BA215"/>
  <c r="BD214"/>
  <c r="BA214"/>
  <c r="BT225" l="1"/>
  <c r="BN226"/>
  <c r="BA216"/>
  <c r="BA217" s="1"/>
  <c r="BD216"/>
  <c r="BV225" l="1"/>
  <c r="BT310"/>
  <c r="BN227"/>
  <c r="BN228" s="1"/>
  <c r="BD218"/>
  <c r="BA218"/>
  <c r="BD217"/>
  <c r="BV310" l="1"/>
  <c r="BD219"/>
  <c r="BA219"/>
  <c r="BN229" l="1"/>
  <c r="BD222"/>
  <c r="BA222"/>
  <c r="BD220"/>
  <c r="BA220"/>
  <c r="BA221" s="1"/>
  <c r="BN230" l="1"/>
  <c r="BA223"/>
  <c r="BD221"/>
  <c r="BD223" s="1"/>
  <c r="BD224"/>
  <c r="BA224"/>
  <c r="BA225" s="1"/>
  <c r="BN231" l="1"/>
  <c r="BD226"/>
  <c r="BA226"/>
  <c r="BD225"/>
  <c r="BN232" l="1"/>
  <c r="BA227"/>
  <c r="BA228" s="1"/>
  <c r="BD227"/>
  <c r="BN233" l="1"/>
  <c r="BD229"/>
  <c r="BA229"/>
  <c r="BD230"/>
  <c r="BA230"/>
  <c r="BD228"/>
  <c r="BN234" l="1"/>
  <c r="BN235" s="1"/>
  <c r="BD231"/>
  <c r="BA231"/>
  <c r="BN236" l="1"/>
  <c r="BD233"/>
  <c r="BA233"/>
  <c r="BA232"/>
  <c r="BD232"/>
  <c r="BN237" l="1"/>
  <c r="BN238" s="1"/>
  <c r="BD234"/>
  <c r="BD235" s="1"/>
  <c r="BA234"/>
  <c r="BA235" s="1"/>
  <c r="BN239" l="1"/>
  <c r="BN240" s="1"/>
  <c r="BA236"/>
  <c r="BD236"/>
  <c r="BN242" l="1"/>
  <c r="BN241"/>
  <c r="BA237"/>
  <c r="BA238" s="1"/>
  <c r="BD237"/>
  <c r="BN244" l="1"/>
  <c r="BN243"/>
  <c r="BD238"/>
  <c r="BD239"/>
  <c r="BA239"/>
  <c r="BA240" s="1"/>
  <c r="BN246" l="1"/>
  <c r="BN245"/>
  <c r="BD240"/>
  <c r="BD241"/>
  <c r="BA241"/>
  <c r="BN247" l="1"/>
  <c r="BN248" s="1"/>
  <c r="BD243"/>
  <c r="BA243"/>
  <c r="BD242"/>
  <c r="BA242"/>
  <c r="BN249" l="1"/>
  <c r="BD244"/>
  <c r="BA244"/>
  <c r="BN250" l="1"/>
  <c r="BD246"/>
  <c r="BA246"/>
  <c r="BA245"/>
  <c r="BD245"/>
  <c r="BN252" l="1"/>
  <c r="BN251"/>
  <c r="BA247"/>
  <c r="BA248" s="1"/>
  <c r="BD247"/>
  <c r="BN253" l="1"/>
  <c r="BD250"/>
  <c r="BA250"/>
  <c r="BD249"/>
  <c r="BA249"/>
  <c r="BD248"/>
  <c r="BN254" l="1"/>
  <c r="BA252"/>
  <c r="BD252"/>
  <c r="BD251"/>
  <c r="BA251"/>
  <c r="BN255" l="1"/>
  <c r="BN256" s="1"/>
  <c r="BD253"/>
  <c r="BA253"/>
  <c r="BN257" l="1"/>
  <c r="BD254"/>
  <c r="BA254"/>
  <c r="BN259" l="1"/>
  <c r="BN258"/>
  <c r="BA255"/>
  <c r="BA256" s="1"/>
  <c r="BD255"/>
  <c r="BN260" l="1"/>
  <c r="BD256"/>
  <c r="BD257"/>
  <c r="BA257"/>
  <c r="BD258"/>
  <c r="BA258"/>
  <c r="BN261" l="1"/>
  <c r="BN262" s="1"/>
  <c r="BD259"/>
  <c r="BA259"/>
  <c r="BA260" s="1"/>
  <c r="BN263" l="1"/>
  <c r="BD260"/>
  <c r="BN264" l="1"/>
  <c r="BN265" s="1"/>
  <c r="BD261"/>
  <c r="BD262" s="1"/>
  <c r="BA261"/>
  <c r="BA262" s="1"/>
  <c r="BN267" l="1"/>
  <c r="BN266"/>
  <c r="BD264"/>
  <c r="BA264"/>
  <c r="BD263"/>
  <c r="BA263"/>
  <c r="BA265" l="1"/>
  <c r="BN268"/>
  <c r="BN269" s="1"/>
  <c r="BD265"/>
  <c r="BN270" l="1"/>
  <c r="BN271" s="1"/>
  <c r="BD267"/>
  <c r="BA267"/>
  <c r="BD266"/>
  <c r="BA266"/>
  <c r="BN273" l="1"/>
  <c r="BN272"/>
  <c r="BN286" s="1"/>
  <c r="BA268"/>
  <c r="BA269" s="1"/>
  <c r="BD268"/>
  <c r="BN275" l="1"/>
  <c r="BN274"/>
  <c r="BD269"/>
  <c r="BN276" l="1"/>
  <c r="BD270"/>
  <c r="BA270"/>
  <c r="BA271" s="1"/>
  <c r="BD272"/>
  <c r="BA272"/>
  <c r="BA286" s="1"/>
  <c r="BN278" l="1"/>
  <c r="BN277"/>
  <c r="BA275"/>
  <c r="BD275"/>
  <c r="BD274"/>
  <c r="BA274"/>
  <c r="BD271"/>
  <c r="BD286"/>
  <c r="BD273"/>
  <c r="BA273"/>
  <c r="BN280" l="1"/>
  <c r="BN279"/>
  <c r="BA277"/>
  <c r="BD277"/>
  <c r="BD276"/>
  <c r="BA276"/>
  <c r="BN281" l="1"/>
  <c r="BD278"/>
  <c r="BA278"/>
  <c r="BN282" l="1"/>
  <c r="BD279"/>
  <c r="BA279"/>
  <c r="BA280"/>
  <c r="BD280"/>
  <c r="BN283" l="1"/>
  <c r="BD281"/>
  <c r="BA281"/>
  <c r="BN285" l="1"/>
  <c r="BN284"/>
  <c r="BA282"/>
  <c r="BD282"/>
  <c r="BD283" l="1"/>
  <c r="BA283"/>
  <c r="BN287" l="1"/>
  <c r="BN288" s="1"/>
  <c r="BD284"/>
  <c r="BA284"/>
  <c r="BN289" l="1"/>
  <c r="BN290" s="1"/>
  <c r="BD285"/>
  <c r="BA285"/>
  <c r="BN291" l="1"/>
  <c r="BD287"/>
  <c r="BA287"/>
  <c r="BA288" s="1"/>
  <c r="BN292" l="1"/>
  <c r="BD288"/>
  <c r="BD289"/>
  <c r="BD290" s="1"/>
  <c r="BA289"/>
  <c r="BA290" s="1"/>
  <c r="BN293" l="1"/>
  <c r="BD291"/>
  <c r="BA291"/>
  <c r="BN294" l="1"/>
  <c r="BD293"/>
  <c r="BA293"/>
  <c r="BA292"/>
  <c r="BD292"/>
  <c r="BN295" l="1"/>
  <c r="BA295"/>
  <c r="BD295"/>
  <c r="BD294"/>
  <c r="BA294"/>
  <c r="BN296" l="1"/>
  <c r="BD297"/>
  <c r="BA297"/>
  <c r="BD296"/>
  <c r="BA296"/>
  <c r="BN297" l="1"/>
  <c r="BA299"/>
  <c r="BD299"/>
  <c r="BD298"/>
  <c r="BA298"/>
  <c r="BN298" l="1"/>
  <c r="BD301"/>
  <c r="BA301"/>
  <c r="BA300"/>
  <c r="BD300"/>
  <c r="BN299" l="1"/>
  <c r="BD302"/>
  <c r="BA302"/>
  <c r="BN300" l="1"/>
  <c r="BD303"/>
  <c r="BA303"/>
  <c r="BN301" l="1"/>
  <c r="BD305"/>
  <c r="BA305"/>
  <c r="BD304"/>
  <c r="BA304"/>
  <c r="BN302" l="1"/>
  <c r="BD307"/>
  <c r="BA307"/>
  <c r="BD306"/>
  <c r="BA306"/>
  <c r="BN304" l="1"/>
  <c r="BN303"/>
  <c r="BD308"/>
  <c r="BA308"/>
  <c r="BA309"/>
  <c r="BD309"/>
  <c r="BN306" l="1"/>
  <c r="BN305"/>
  <c r="BA310"/>
  <c r="BD310"/>
  <c r="BN307" l="1"/>
  <c r="BN308" s="1"/>
  <c r="BN309" l="1"/>
  <c r="BN310" s="1"/>
</calcChain>
</file>

<file path=xl/comments1.xml><?xml version="1.0" encoding="utf-8"?>
<comments xmlns="http://schemas.openxmlformats.org/spreadsheetml/2006/main">
  <authors>
    <author>Author</author>
  </authors>
  <commentList>
    <comment ref="CU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289.41</t>
        </r>
      </text>
    </comment>
    <comment ref="CV10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 lakh in july
</t>
        </r>
      </text>
    </comment>
    <comment ref="CV1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25.00 lskh july
</t>
        </r>
      </text>
    </comment>
    <comment ref="DI17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340</t>
        </r>
      </text>
    </comment>
    <comment ref="AZ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 11.19 NO FUND
</t>
        </r>
      </text>
    </comment>
    <comment ref="BW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360 arrears
</t>
        </r>
      </text>
    </comment>
    <comment ref="BJ2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938 lakh for feb
</t>
        </r>
      </text>
    </comment>
    <comment ref="BW2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
arrears</t>
        </r>
      </text>
    </comment>
    <comment ref="BW29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40.92 lakh arrear</t>
        </r>
      </text>
    </comment>
    <comment ref="BW29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1493 arrears</t>
        </r>
      </text>
    </comment>
  </commentList>
</comments>
</file>

<file path=xl/sharedStrings.xml><?xml version="1.0" encoding="utf-8"?>
<sst xmlns="http://schemas.openxmlformats.org/spreadsheetml/2006/main" count="838" uniqueCount="613">
  <si>
    <t>NEH</t>
  </si>
  <si>
    <t>Grand Total</t>
  </si>
  <si>
    <t>Pension</t>
  </si>
  <si>
    <t xml:space="preserve"> </t>
  </si>
  <si>
    <t xml:space="preserve">S.No. </t>
  </si>
  <si>
    <t xml:space="preserve">F.No. </t>
  </si>
  <si>
    <t>State</t>
  </si>
  <si>
    <t>Name of the Unit</t>
  </si>
  <si>
    <t>PFMS CODE</t>
  </si>
  <si>
    <t>PENSION</t>
  </si>
  <si>
    <t>CICR, Nagpur</t>
  </si>
  <si>
    <t>AICRP on Cotton, CICR, Nagpur</t>
  </si>
  <si>
    <t>6(1)/2018</t>
  </si>
  <si>
    <t>Maharashtra</t>
  </si>
  <si>
    <t>ICAR0430</t>
  </si>
  <si>
    <t>CRIJAF, Barrackpore</t>
  </si>
  <si>
    <t>AINPJAF, CRIJAF, Barrackpore</t>
  </si>
  <si>
    <t>6(2)/2018</t>
  </si>
  <si>
    <t>West Bengal</t>
  </si>
  <si>
    <t>CRIJAF</t>
  </si>
  <si>
    <t>NRRI, Cuttack</t>
  </si>
  <si>
    <t>Incentivizing Research in Agriculture, NRRI, Cuttack</t>
  </si>
  <si>
    <t>6(3)/2018</t>
  </si>
  <si>
    <t>Odhisha</t>
  </si>
  <si>
    <t>CRRICUTTACK</t>
  </si>
  <si>
    <t>CTRI, Rajamundry</t>
  </si>
  <si>
    <t>NETWORK on Tobacco, CTRI, Rajamundry</t>
  </si>
  <si>
    <t>6(4)/2018</t>
  </si>
  <si>
    <t>Andhra Pradesh</t>
  </si>
  <si>
    <t>CTRI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</si>
  <si>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</si>
  <si>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</si>
  <si>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</si>
  <si>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</si>
  <si>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</si>
  <si>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</si>
  <si>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</si>
  <si>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</si>
  <si>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</si>
  <si>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</si>
  <si>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</si>
  <si>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IARI</t>
  </si>
  <si>
    <t>IGFRI, Jhansi</t>
  </si>
  <si>
    <t>AICRP on Forage Crops and Utilization, IGFRI, Jhansi</t>
  </si>
  <si>
    <t>6(6)/2018</t>
  </si>
  <si>
    <t>Uttar Pradesh</t>
  </si>
  <si>
    <t>IGFRI</t>
  </si>
  <si>
    <t>IIPR, Kanpur</t>
  </si>
  <si>
    <t>6(7)/2018</t>
  </si>
  <si>
    <t>IIPRKANPUR</t>
  </si>
  <si>
    <t>IISR, Lucknow</t>
  </si>
  <si>
    <t>AICRP on Sugercane, IISR, Lucknow</t>
  </si>
  <si>
    <t>6(8)/2018</t>
  </si>
  <si>
    <t>IISRLKO</t>
  </si>
  <si>
    <t>NBAIM, Maunath Bhanjan</t>
  </si>
  <si>
    <t>AMAAS, NBAIM, Mau</t>
  </si>
  <si>
    <t>6(9)/2018</t>
  </si>
  <si>
    <t>NBAIM</t>
  </si>
  <si>
    <t>NBPGR, New Delhi</t>
  </si>
  <si>
    <t>AICRP POTENTIAL CROP, NBPGR, New Delhi</t>
  </si>
  <si>
    <t>CRP-AGRO BIODIVERSITY, NBPGR, New Delhi</t>
  </si>
  <si>
    <t>6(10)/2018</t>
  </si>
  <si>
    <t>NBPGR</t>
  </si>
  <si>
    <t>6(11)/2018</t>
  </si>
  <si>
    <t>Tamil Nadu</t>
  </si>
  <si>
    <t>SBI, Coimbatore</t>
  </si>
  <si>
    <t>SBIICAR</t>
  </si>
  <si>
    <t>6(12)/2018</t>
  </si>
  <si>
    <t>Uttarkhand</t>
  </si>
  <si>
    <t>VPKAS, Almora</t>
  </si>
  <si>
    <t>VLAB</t>
  </si>
  <si>
    <t>NRCIPM, New Delhi</t>
  </si>
  <si>
    <t>6(13)/2018</t>
  </si>
  <si>
    <t>NCIPM</t>
  </si>
  <si>
    <t>DGR, Junagadh</t>
  </si>
  <si>
    <t>AICRP on Groudnut, DGR, Junagadh</t>
  </si>
  <si>
    <t>6(14)/2018</t>
  </si>
  <si>
    <t>Gujarat</t>
  </si>
  <si>
    <t>DGR-DBT1</t>
  </si>
  <si>
    <t>NRC Plant Biotechnology, New Delhi</t>
  </si>
  <si>
    <t>6(15)/2018</t>
  </si>
  <si>
    <t>NRCPB</t>
  </si>
  <si>
    <t>DR &amp; MR, Bharatpur</t>
  </si>
  <si>
    <t>AICRP on R&amp;M, DR &amp; MR, Bharatpur</t>
  </si>
  <si>
    <t>6(16)/2018</t>
  </si>
  <si>
    <t>Rajasthan</t>
  </si>
  <si>
    <t>ICARNRCRM</t>
  </si>
  <si>
    <t>IIMR, Hyderabad</t>
  </si>
  <si>
    <t>6(17)/2018</t>
  </si>
  <si>
    <t>Telangana</t>
  </si>
  <si>
    <t>DSRHYD</t>
  </si>
  <si>
    <t>DSR, Indore</t>
  </si>
  <si>
    <t xml:space="preserve">AICRP on Soyabean, Indore </t>
  </si>
  <si>
    <t>6(18)/2018</t>
  </si>
  <si>
    <t>Madhya Pradesh</t>
  </si>
  <si>
    <t>DSR</t>
  </si>
  <si>
    <t>NBAIR, Bengaluru</t>
  </si>
  <si>
    <t>AICRP on Biological Control, NBAIR, Benglaluru</t>
  </si>
  <si>
    <t>6(19)/2018</t>
  </si>
  <si>
    <t>Karnataka</t>
  </si>
  <si>
    <t>NBAII</t>
  </si>
  <si>
    <t>IIMR, Ludhiana</t>
  </si>
  <si>
    <t>AICRP On Maize, IIMR, Ludhiana</t>
  </si>
  <si>
    <t>6(20)/2018</t>
  </si>
  <si>
    <t>Punjab</t>
  </si>
  <si>
    <t>MAIZE</t>
  </si>
  <si>
    <t>IIOR, Hyderabad</t>
  </si>
  <si>
    <t>AICRP on Sesame &amp; Niger, IIOR, Hyderabad</t>
  </si>
  <si>
    <t>6(21)/2018</t>
  </si>
  <si>
    <t>DORH</t>
  </si>
  <si>
    <t>IIRR,  Hyderabad</t>
  </si>
  <si>
    <t>AICRP on Rice, IIRR, Hyderabad</t>
  </si>
  <si>
    <t>CRP on  Rice Biofortification, IIRR, Hyderabad</t>
  </si>
  <si>
    <t>6(22)/2018</t>
  </si>
  <si>
    <t>DRR</t>
  </si>
  <si>
    <t>IIWBR,  Karnal</t>
  </si>
  <si>
    <t>AICRP on Wheat &amp; Barley, IIWBR, Karnal</t>
  </si>
  <si>
    <t>6(23)/2018</t>
  </si>
  <si>
    <t>Haryana</t>
  </si>
  <si>
    <t>DWRKAR</t>
  </si>
  <si>
    <t>IISS, Maunath Bhanjan</t>
  </si>
  <si>
    <t>6(24)/2018</t>
  </si>
  <si>
    <t>AOSDSR</t>
  </si>
  <si>
    <t>6(26)/2018</t>
  </si>
  <si>
    <t>Chattisgarh</t>
  </si>
  <si>
    <t>NIBSM, Raipur</t>
  </si>
  <si>
    <t>NIBSM</t>
  </si>
  <si>
    <t>6(27)/2018</t>
  </si>
  <si>
    <t>Jharkahand</t>
  </si>
  <si>
    <t>IIAB, Ranchi</t>
  </si>
  <si>
    <t>ININ00000004</t>
  </si>
  <si>
    <t>6(70)/2018</t>
  </si>
  <si>
    <t>CAZRIJODHPUR</t>
  </si>
  <si>
    <t xml:space="preserve">Total Crop Sciences </t>
  </si>
  <si>
    <t>SC-0085</t>
  </si>
  <si>
    <t>6(28)/2018</t>
  </si>
  <si>
    <t>Andhamand  &amp; Nicobar Islands</t>
  </si>
  <si>
    <t>CIARI, Port Blair</t>
  </si>
  <si>
    <t>CARIPORT</t>
  </si>
  <si>
    <t>CIAH, Bikaner</t>
  </si>
  <si>
    <t>AICRP on AZF, CIAH, Bikaner</t>
  </si>
  <si>
    <t>6(29)/2018</t>
  </si>
  <si>
    <t>CIAH</t>
  </si>
  <si>
    <t>6(30)/2018</t>
  </si>
  <si>
    <t>CISH, Lucknow</t>
  </si>
  <si>
    <t>CISH123</t>
  </si>
  <si>
    <t>6(31)/2018</t>
  </si>
  <si>
    <t>Jammu &amp; Kashmir</t>
  </si>
  <si>
    <t>CITH, Srinagar</t>
  </si>
  <si>
    <t>CITH</t>
  </si>
  <si>
    <t>CPCRI, Kasaragod</t>
  </si>
  <si>
    <t>AICRP on Palms, CPCRI, Kasaragod</t>
  </si>
  <si>
    <t>6(32)/2018</t>
  </si>
  <si>
    <t>Kerala</t>
  </si>
  <si>
    <t>CPCRI</t>
  </si>
  <si>
    <t>CPRI, Shimla</t>
  </si>
  <si>
    <t>AICRP on Potato, CPRI, Shimla</t>
  </si>
  <si>
    <t>6(33)/2018</t>
  </si>
  <si>
    <t>Himachal Pradesh</t>
  </si>
  <si>
    <t>CPRI</t>
  </si>
  <si>
    <t>CTCRI, Thiruvanthapuram</t>
  </si>
  <si>
    <t>AICRP on Tuber Crops, CTCRI, Thiruvanthapuram</t>
  </si>
  <si>
    <t>6(34)/2018</t>
  </si>
  <si>
    <t>CTCRI</t>
  </si>
  <si>
    <t>IIHR, Bangalore</t>
  </si>
  <si>
    <t>AICRP on Fruit, IIHR, Bangalore</t>
  </si>
  <si>
    <t>6(35)/2018</t>
  </si>
  <si>
    <t>IIHR</t>
  </si>
  <si>
    <t>IISR, Calicut</t>
  </si>
  <si>
    <t>AICRP on Spices, IISR, Calicut</t>
  </si>
  <si>
    <t>6(36)/2018</t>
  </si>
  <si>
    <t>IISR</t>
  </si>
  <si>
    <t>IIVR, Varanasi</t>
  </si>
  <si>
    <t>AICRP on Vegetables, IIVR, Varanasi</t>
  </si>
  <si>
    <t>6(37)/2018</t>
  </si>
  <si>
    <t>IIVR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</si>
  <si>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</si>
  <si>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</si>
  <si>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</si>
  <si>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</si>
  <si>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</si>
  <si>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CAXUPES</t>
  </si>
  <si>
    <t>6(40)/2018</t>
  </si>
  <si>
    <t>CCRI, Nagpur</t>
  </si>
  <si>
    <t>NRCC0400</t>
  </si>
  <si>
    <t>6(41)/2018</t>
  </si>
  <si>
    <t>NRC For Grapes, Pune</t>
  </si>
  <si>
    <t>NRCG</t>
  </si>
  <si>
    <t>DMAPR, Anand</t>
  </si>
  <si>
    <t>AICRP on MAP &amp; Betelvine, DMAPR, Anand</t>
  </si>
  <si>
    <t>6(42)/2018</t>
  </si>
  <si>
    <t>NRCMAP</t>
  </si>
  <si>
    <t>Dte. on Mushroom, Solan</t>
  </si>
  <si>
    <t>AICRP on Mushroom, DMR, Solan</t>
  </si>
  <si>
    <t>6(43)/2018</t>
  </si>
  <si>
    <t>DMRS</t>
  </si>
  <si>
    <t>6(44)/2018</t>
  </si>
  <si>
    <t>IIOPR, Pedavegi</t>
  </si>
  <si>
    <t>DOPR1</t>
  </si>
  <si>
    <t>6(45)/2018</t>
  </si>
  <si>
    <t>Dte. on Onion &amp; Garlic, Pune</t>
  </si>
  <si>
    <t>MHPU00014556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</si>
  <si>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</si>
  <si>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</si>
  <si>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</si>
  <si>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</si>
  <si>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</si>
  <si>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</si>
  <si>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</si>
  <si>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</si>
  <si>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LITCHI</t>
  </si>
  <si>
    <t>6(49)/2018</t>
  </si>
  <si>
    <t>NRC for Pomegranate, Solapur</t>
  </si>
  <si>
    <t>MHSO00011522</t>
  </si>
  <si>
    <t>Dte. of Floriculture, Pune</t>
  </si>
  <si>
    <t>AICRP on Floriculture, Dte. of Floriculture, Pune</t>
  </si>
  <si>
    <t>6(50)/2018</t>
  </si>
  <si>
    <t>MHPU00014503</t>
  </si>
  <si>
    <t xml:space="preserve">Total HORTICULTURAL SCIENCES </t>
  </si>
  <si>
    <t>SCHEME CODE-0086</t>
  </si>
  <si>
    <t>6(51)/2018</t>
  </si>
  <si>
    <t>CARI, Izatnagar</t>
  </si>
  <si>
    <t>CARI</t>
  </si>
  <si>
    <t>CIRB, Hissar</t>
  </si>
  <si>
    <t>Network Project on Baffaloes, CIRB, Hissar</t>
  </si>
  <si>
    <t>6(52)/2018</t>
  </si>
  <si>
    <t>CIRB</t>
  </si>
  <si>
    <t>CIRG, Makhdoom</t>
  </si>
  <si>
    <t>AICRP on Goats, CIRG, Makhdoom</t>
  </si>
  <si>
    <t>6(53)/2018</t>
  </si>
  <si>
    <t>CIRG</t>
  </si>
  <si>
    <t>CSWRI, Avikanagar</t>
  </si>
  <si>
    <t>AICRP on Mega Sheep Seed Project, CSWRI, Avikanagar</t>
  </si>
  <si>
    <t>Network on Sheep Improvement, CSWRI, Avikanagar</t>
  </si>
  <si>
    <t>6(54)/2018</t>
  </si>
  <si>
    <t>CSWRI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</si>
  <si>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</si>
  <si>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</si>
  <si>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</si>
  <si>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</si>
  <si>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</si>
  <si>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</si>
  <si>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</si>
  <si>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</si>
  <si>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</si>
  <si>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</si>
  <si>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IVRI</t>
  </si>
  <si>
    <t>6(56)/2018</t>
  </si>
  <si>
    <t>NIHSAD, Bhopal</t>
  </si>
  <si>
    <t>HSADL</t>
  </si>
  <si>
    <t>NBAGR, Karnal</t>
  </si>
  <si>
    <t>Network Project on Animal Genetic Resources, NBAGR, Karnal</t>
  </si>
  <si>
    <t>6(57)/2018</t>
  </si>
  <si>
    <t>NBAGR</t>
  </si>
  <si>
    <t>6(58)/2018</t>
  </si>
  <si>
    <t>NDRI, Karnal</t>
  </si>
  <si>
    <t>NDRI</t>
  </si>
  <si>
    <t>NIANP, Bangalore</t>
  </si>
  <si>
    <t>AICRP ON NPAERP + OP on Methan Emission, NIANP, Bangalore</t>
  </si>
  <si>
    <t>6(59)/2018</t>
  </si>
  <si>
    <t>NIANP</t>
  </si>
  <si>
    <t>6(60)/2018</t>
  </si>
  <si>
    <t>NRC on Camel, Bikaner</t>
  </si>
  <si>
    <t>NRCCB</t>
  </si>
  <si>
    <t>NRC on Equines, Hissar</t>
  </si>
  <si>
    <t>National Centre for  Veterinary Type Culture Collection, NRC on Equines, Hissar</t>
  </si>
  <si>
    <t>6(61)/2018</t>
  </si>
  <si>
    <t>NRCE</t>
  </si>
  <si>
    <t>6(62)/2018</t>
  </si>
  <si>
    <t>NRC on Meat, Hyderabad</t>
  </si>
  <si>
    <t>NRCM</t>
  </si>
  <si>
    <t>6(63)/2018</t>
  </si>
  <si>
    <t>Nagaland</t>
  </si>
  <si>
    <t>NRC on Mithun</t>
  </si>
  <si>
    <t>NRCMJPN</t>
  </si>
  <si>
    <t>NRC on Pig, Guwahati</t>
  </si>
  <si>
    <t>AICRP on Pig, NRC on Pig, Guwahati</t>
  </si>
  <si>
    <t>Mega seed on Pig, NRC on Pig, Guwahati</t>
  </si>
  <si>
    <t>6(64)/2018</t>
  </si>
  <si>
    <t>Assam</t>
  </si>
  <si>
    <t>NRCPIG</t>
  </si>
  <si>
    <t>6(65)/2018</t>
  </si>
  <si>
    <t>Arunachal Pradesh</t>
  </si>
  <si>
    <t>NRC on Yak, Dirang</t>
  </si>
  <si>
    <t>NRCY</t>
  </si>
  <si>
    <t>6(66)/2018</t>
  </si>
  <si>
    <t>NIVEDI, Bengalore</t>
  </si>
  <si>
    <t>PDADMAS</t>
  </si>
  <si>
    <t>CIRC, Meerut</t>
  </si>
  <si>
    <t>AICRP on Cattle, CIRC, Meerut</t>
  </si>
  <si>
    <t>6(67)/2018</t>
  </si>
  <si>
    <t>pdcattle</t>
  </si>
  <si>
    <t>6(68)/2018</t>
  </si>
  <si>
    <t>Uttarakhand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</si>
  <si>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</si>
  <si>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</si>
  <si>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</si>
  <si>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</si>
  <si>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</si>
  <si>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</si>
  <si>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PDP</t>
  </si>
  <si>
    <t>TOTAL ANIMAL SCIENCES</t>
  </si>
  <si>
    <t>SCHEME CODE-0089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</si>
  <si>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</si>
  <si>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</si>
  <si>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</si>
  <si>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</si>
  <si>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</si>
  <si>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CRIDA</t>
  </si>
  <si>
    <t>6(72)/2018</t>
  </si>
  <si>
    <t>IIS &amp; WC (CS &amp; WCR &amp; TI), Dehradun</t>
  </si>
  <si>
    <t>CSWCRTIFPARP</t>
  </si>
  <si>
    <t>CSSRI, Karnal</t>
  </si>
  <si>
    <t>PCU-SAS, CSSRI, Karnal</t>
  </si>
  <si>
    <t>6(73)/2018</t>
  </si>
  <si>
    <t>CSRI</t>
  </si>
  <si>
    <t>6(74)/2018</t>
  </si>
  <si>
    <t>Meghalaya</t>
  </si>
  <si>
    <t>ICAR RC For  NEH Region.,Barapani</t>
  </si>
  <si>
    <t>ICARNEH</t>
  </si>
  <si>
    <t>6(75)/2018</t>
  </si>
  <si>
    <t>ICAR Res. Complex for Eastern Region, Patna</t>
  </si>
  <si>
    <t>IRCER</t>
  </si>
  <si>
    <t>6(76)/2018</t>
  </si>
  <si>
    <t>Goa</t>
  </si>
  <si>
    <t>CCARI (ICAR Res. Complex),  Goa</t>
  </si>
  <si>
    <t>ICARRCG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</si>
  <si>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</si>
  <si>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</si>
  <si>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</si>
  <si>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</si>
  <si>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</si>
  <si>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</si>
  <si>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</si>
  <si>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IISSBHOPAL</t>
  </si>
  <si>
    <t>6(78)/2018</t>
  </si>
  <si>
    <t>NBSS &amp; LUP, Nagpur</t>
  </si>
  <si>
    <t>NBSSLUP</t>
  </si>
  <si>
    <t>CARI,Jhansi</t>
  </si>
  <si>
    <t>AICRP on Agroforestry, CARI, Jhansi</t>
  </si>
  <si>
    <t>6(79)/2018</t>
  </si>
  <si>
    <t>NRCAF</t>
  </si>
  <si>
    <t>IIWM, Bhubaneshwar</t>
  </si>
  <si>
    <t>AICRP on IWM,  IIWM, Bhubaneshwar</t>
  </si>
  <si>
    <t>CRP on Water, IIWM, Bhubaneshwar</t>
  </si>
  <si>
    <t>6(80)/2018</t>
  </si>
  <si>
    <t>DWM</t>
  </si>
  <si>
    <t>6(81)/2018</t>
  </si>
  <si>
    <t>BREC00004661</t>
  </si>
  <si>
    <t>Dte. Of Weed Research, Jabalpur</t>
  </si>
  <si>
    <t>AICRP on Weed Management, DWR, Jabalpur</t>
  </si>
  <si>
    <t>6(82)/2018</t>
  </si>
  <si>
    <t>VC00119625</t>
  </si>
  <si>
    <t>IIFSR, Modipuram</t>
  </si>
  <si>
    <t>AICRP on Integragted Farming System, IIFSR, Modipuram</t>
  </si>
  <si>
    <t>Network Project on Organic Farming, IIFSR, Modipuram</t>
  </si>
  <si>
    <t>6(83)/2018</t>
  </si>
  <si>
    <t>IIFSR</t>
  </si>
  <si>
    <t>6(84)/2018</t>
  </si>
  <si>
    <t>NIASM, Baramati</t>
  </si>
  <si>
    <t>NIASM</t>
  </si>
  <si>
    <t>TOTAL NRM DIVISION</t>
  </si>
  <si>
    <t>SCHEME CODE-1271</t>
  </si>
  <si>
    <t>NICRA,  Hyderabad</t>
  </si>
  <si>
    <t>6(85)/2018</t>
  </si>
  <si>
    <t>TOTAL CRAI/NICRA</t>
  </si>
  <si>
    <t>SCHEME CODE-1410</t>
  </si>
  <si>
    <t>CIBA, Chennai</t>
  </si>
  <si>
    <t>AINP on Fish Health,  CIBA, Chennai</t>
  </si>
  <si>
    <t>6(86)/2018</t>
  </si>
  <si>
    <t>CIBA</t>
  </si>
  <si>
    <t>6(87)/2018</t>
  </si>
  <si>
    <t>CIFRI, Barrackpore</t>
  </si>
  <si>
    <t xml:space="preserve">ICARUNITCIFRI   </t>
  </si>
  <si>
    <t>6(88)/2018</t>
  </si>
  <si>
    <t>CIFA, Bhubaneshwar</t>
  </si>
  <si>
    <t>CIFA</t>
  </si>
  <si>
    <t>6(89)/2018</t>
  </si>
  <si>
    <t>CIFE, Mumbai</t>
  </si>
  <si>
    <t>CIFE</t>
  </si>
  <si>
    <t>6(90)/2018</t>
  </si>
  <si>
    <t>CIFT, Kochi</t>
  </si>
  <si>
    <t>CIFT</t>
  </si>
  <si>
    <t>CMFRI, Kochi</t>
  </si>
  <si>
    <t xml:space="preserve"> ANIP Mericulture, CMFRI, Kochi</t>
  </si>
  <si>
    <t>6(91)/2018</t>
  </si>
  <si>
    <t>CMFRI</t>
  </si>
  <si>
    <t xml:space="preserve">NBFGR, Lucknow </t>
  </si>
  <si>
    <t xml:space="preserve">CRP Genomics, NBFGR, Lucknow </t>
  </si>
  <si>
    <t>6(92)/2018</t>
  </si>
  <si>
    <t>NBFGR</t>
  </si>
  <si>
    <t>6(93)/2018</t>
  </si>
  <si>
    <t>Dte. Of Coldwater Fisheries Research, Bhimtal</t>
  </si>
  <si>
    <t>DCFR</t>
  </si>
  <si>
    <t xml:space="preserve">TOTAL FISHEREIES </t>
  </si>
  <si>
    <t>SCHEME CODE-0090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</si>
  <si>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</si>
  <si>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</si>
  <si>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</si>
  <si>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</si>
  <si>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</si>
  <si>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</si>
  <si>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</si>
  <si>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</si>
  <si>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>CIAEBPL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</si>
  <si>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</si>
  <si>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</si>
  <si>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</si>
  <si>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</si>
  <si>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</si>
  <si>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>CIPHET</t>
  </si>
  <si>
    <t xml:space="preserve">CIRCOT, Mumbai </t>
  </si>
  <si>
    <t>CRP on Natural Fibres, CIRCOT, Mumbai</t>
  </si>
  <si>
    <t>6(96)/2018</t>
  </si>
  <si>
    <t>CIRCOT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</si>
  <si>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</si>
  <si>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</si>
  <si>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</si>
  <si>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</si>
  <si>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</si>
  <si>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SBIN0009011</t>
  </si>
  <si>
    <t>6(98)/2018</t>
  </si>
  <si>
    <t xml:space="preserve">NIRJAFT, Kolkata </t>
  </si>
  <si>
    <t>NIRJAFT</t>
  </si>
  <si>
    <t>TOTAL AGRICULTURAL ENGINEERING</t>
  </si>
  <si>
    <t>SCHEME CODE-0088</t>
  </si>
  <si>
    <t>6(99)/2018</t>
  </si>
  <si>
    <t>IASRI including CABin, New Delhi</t>
  </si>
  <si>
    <t>IASRI</t>
  </si>
  <si>
    <t>6(100)/2018</t>
  </si>
  <si>
    <t>NIAP &amp; PR, New Delhi</t>
  </si>
  <si>
    <t>NCAP</t>
  </si>
  <si>
    <t>TOTAL ECO. STATISTICS &amp;MANAGEMENT</t>
  </si>
  <si>
    <t>SCHEME CODE-0091</t>
  </si>
  <si>
    <t>6(101)/2018</t>
  </si>
  <si>
    <t>NAARM, Hyderabad</t>
  </si>
  <si>
    <t>NAARM</t>
  </si>
  <si>
    <t xml:space="preserve">CIWA, Bhubaneshwar </t>
  </si>
  <si>
    <t>AICRP on Home Science, CIWA, Bhubaneshwar</t>
  </si>
  <si>
    <t>6(103)/2018</t>
  </si>
  <si>
    <t>DRWA</t>
  </si>
  <si>
    <t>6(102)/2018</t>
  </si>
  <si>
    <t>Agricultural Education</t>
  </si>
  <si>
    <t>DLIN00000307</t>
  </si>
  <si>
    <t>TOTAL AG. EDUCATION DIVISION</t>
  </si>
  <si>
    <t>SCHEME CODE-0093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</si>
  <si>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</si>
  <si>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</si>
  <si>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</si>
  <si>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</si>
  <si>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</si>
  <si>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</si>
  <si>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</si>
  <si>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</si>
  <si>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</si>
  <si>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</si>
  <si>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</si>
  <si>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</si>
  <si>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</si>
  <si>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</si>
  <si>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</si>
  <si>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ICAR</t>
  </si>
  <si>
    <t>6(107)/2018</t>
  </si>
  <si>
    <t>NAIF, New Delhi</t>
  </si>
  <si>
    <t>DLIN00000359</t>
  </si>
  <si>
    <t>TOTAL ICAR HQRS.</t>
  </si>
  <si>
    <t>SCHEME CODE-1270</t>
  </si>
  <si>
    <t>6(108)/2018</t>
  </si>
  <si>
    <t>NASF</t>
  </si>
  <si>
    <t>DLIN00000356</t>
  </si>
  <si>
    <t xml:space="preserve">TOTAL NASF </t>
  </si>
  <si>
    <t>SCHEME CODE-0097</t>
  </si>
  <si>
    <t>6(109)/2018</t>
  </si>
  <si>
    <t xml:space="preserve">DKMA, New Delhi </t>
  </si>
  <si>
    <t>DLND00001925</t>
  </si>
  <si>
    <t>6(110)/2018</t>
  </si>
  <si>
    <t>ATARI ZONE-I, Ludhiana</t>
  </si>
  <si>
    <t>PBLU00001252</t>
  </si>
  <si>
    <t>6(111)/2018</t>
  </si>
  <si>
    <t>ATARI ZONE-II, Jodhpur</t>
  </si>
  <si>
    <t>RJJO00006157</t>
  </si>
  <si>
    <t>6(112)/2018</t>
  </si>
  <si>
    <t>ATARI ZONE-III, Kanpur</t>
  </si>
  <si>
    <t>UPKS00005951</t>
  </si>
  <si>
    <t>6(113)/2018</t>
  </si>
  <si>
    <t>ATARI ZONE-IV, Patna</t>
  </si>
  <si>
    <t>BRPA00005506</t>
  </si>
  <si>
    <t>6(114)/2018</t>
  </si>
  <si>
    <t>ATARI ZONE-V, Kolkata</t>
  </si>
  <si>
    <t>WBPN00007525</t>
  </si>
  <si>
    <t>6(115)/2018</t>
  </si>
  <si>
    <t>ATARI ZONE-VI, Guwahati</t>
  </si>
  <si>
    <t>ASKR00008584</t>
  </si>
  <si>
    <t>6(116)/2018</t>
  </si>
  <si>
    <t>ATARI ZONE-VII, Barapani</t>
  </si>
  <si>
    <t>MLRB00001040</t>
  </si>
  <si>
    <t>6(117)/2018</t>
  </si>
  <si>
    <t>ATARI ZONE-VIII, Pune</t>
  </si>
  <si>
    <t>MHPU00014544</t>
  </si>
  <si>
    <t>6(118)/2018</t>
  </si>
  <si>
    <t>ATARI ZONE-IX, Jabalpur</t>
  </si>
  <si>
    <t>MPJA00004614</t>
  </si>
  <si>
    <t>6(119)/2018</t>
  </si>
  <si>
    <t>ATARI ZONE-X, Hyderabad</t>
  </si>
  <si>
    <t>TLHY00000637</t>
  </si>
  <si>
    <t>6(120)/2018</t>
  </si>
  <si>
    <t>ATARI ZONE-XI, Bengalore</t>
  </si>
  <si>
    <t>KABN00002107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</si>
  <si>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</si>
  <si>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</si>
  <si>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</si>
  <si>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</si>
  <si>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</si>
  <si>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</si>
  <si>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SCHEME CODE-0092</t>
  </si>
  <si>
    <t>6(124)/2018</t>
  </si>
  <si>
    <t>NAHEP (EAP)</t>
  </si>
  <si>
    <t>DLND00003279</t>
  </si>
  <si>
    <t>GRAND TOTAL</t>
  </si>
  <si>
    <t xml:space="preserve">SALARY </t>
  </si>
  <si>
    <t>PROGR. TILL FEB FOR RE 2020-21</t>
  </si>
  <si>
    <t xml:space="preserve">Other than NEH TSP </t>
  </si>
  <si>
    <t>Salary-A</t>
  </si>
  <si>
    <t>Wages -B</t>
  </si>
  <si>
    <t>OTA-C</t>
  </si>
  <si>
    <t>Total Salary-A+B+C</t>
  </si>
  <si>
    <t>Salary-C</t>
  </si>
  <si>
    <t>Wages -D</t>
  </si>
  <si>
    <t>OTA-E</t>
  </si>
  <si>
    <t>Total -C+D+E</t>
  </si>
  <si>
    <t>Salary NEH+ OTHER THAN NEH</t>
  </si>
  <si>
    <t>BE 2021-22 Requirement</t>
  </si>
  <si>
    <t>Excess Salary over Progressive</t>
  </si>
  <si>
    <t>Excess Pension over progressive</t>
  </si>
  <si>
    <t>Releases</t>
  </si>
  <si>
    <t>Demand minus finalised</t>
  </si>
  <si>
    <t>Pension based on requirement formula</t>
  </si>
  <si>
    <t>Finalised BASED ON INCREASE IN BUDGET</t>
  </si>
  <si>
    <t>one month march paid in april</t>
  </si>
  <si>
    <t>3 months(April-June)</t>
  </si>
  <si>
    <t>Total Salary=Other than NEH+NEH</t>
  </si>
  <si>
    <t>Matching sheet</t>
  </si>
  <si>
    <t>Other than NEH -Salary</t>
  </si>
  <si>
    <t>NEH-Salary</t>
  </si>
  <si>
    <t>Tentative BE   2021-22</t>
  </si>
  <si>
    <t>Tentative BE  2021-22</t>
  </si>
  <si>
    <t>ADDITIONAL MAY, JUNE, 2021</t>
  </si>
  <si>
    <t>PROGRESSIVE TILL JULY, 2021</t>
  </si>
  <si>
    <t>3 months(july -sept)</t>
  </si>
  <si>
    <t>ADDITIONAL JULY 2021</t>
  </si>
  <si>
    <t>TOTAL</t>
  </si>
  <si>
    <t>SEPT ADDITIONAL</t>
  </si>
  <si>
    <t>OCT-DEC RELEASE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</si>
  <si>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</si>
  <si>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</si>
  <si>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</si>
  <si>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</si>
  <si>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</si>
  <si>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</si>
  <si>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</si>
  <si>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</si>
  <si>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</si>
  <si>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</si>
  <si>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</si>
  <si>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ADDITIONAL OCT-DEC</t>
  </si>
  <si>
    <t>pension</t>
  </si>
  <si>
    <t>salary</t>
  </si>
  <si>
    <t>Progressive Release till 31 Dec, 2021 (includingMarch paid in April, 2021)</t>
  </si>
  <si>
    <t xml:space="preserve">EXP SALARY </t>
  </si>
  <si>
    <t>EXP PENSION</t>
  </si>
  <si>
    <t>REM TWO MONTH REQ SAL</t>
  </si>
  <si>
    <t>REM TWO MONTH REQ PEN</t>
  </si>
  <si>
    <t>BAL AVAILABLE SAL</t>
  </si>
  <si>
    <t>BAL AVAILABLE PEN</t>
  </si>
  <si>
    <t>Total</t>
  </si>
  <si>
    <t>january remittance</t>
  </si>
  <si>
    <t>additional</t>
  </si>
  <si>
    <t>progressive release till 31.1.22</t>
  </si>
  <si>
    <t>Exp  till jan 2022_Pension</t>
  </si>
  <si>
    <t>Exp till Jan2022_Salary</t>
  </si>
  <si>
    <t>Salary</t>
  </si>
  <si>
    <t>REM ONE MONTH REQ SAL</t>
  </si>
  <si>
    <t>REM ONE MONTH REQ PEN</t>
  </si>
  <si>
    <t>NRC on Integrated Farming, Motihari (MGIFRI)</t>
  </si>
  <si>
    <t>PROGRESSIVE RELEASE =RE</t>
  </si>
  <si>
    <t xml:space="preserve">ADDITIONAL BILL </t>
  </si>
  <si>
    <t>BILL 14.02.2022</t>
  </si>
  <si>
    <t>REFUND IN PENSION</t>
  </si>
  <si>
    <t>ALLOCATED TO ICAR HQ</t>
  </si>
  <si>
    <t>(RS IN LAKH)</t>
  </si>
  <si>
    <t>non tsa</t>
  </si>
  <si>
    <t>10% INCREASE</t>
  </si>
  <si>
    <t>ONE MONTH BILL</t>
  </si>
  <si>
    <t>bill apr-june columns linked</t>
  </si>
  <si>
    <t>march paid in april 2022</t>
  </si>
  <si>
    <t>RE/12*3</t>
  </si>
  <si>
    <t>additional for 1st quarter</t>
  </si>
  <si>
    <t>BE 2022-23 (in budget circular)</t>
  </si>
  <si>
    <t xml:space="preserve">for 12 months as pr </t>
  </si>
  <si>
    <t>draft on website</t>
  </si>
  <si>
    <t>BILL JULY-SEPT LINKED</t>
  </si>
  <si>
    <t>RE 2022-23</t>
  </si>
  <si>
    <t>BE 2023-24</t>
  </si>
  <si>
    <t>ANN.1A</t>
  </si>
  <si>
    <t>BALANCE</t>
  </si>
  <si>
    <t>0.25 OF MIN OF be and proposed re</t>
  </si>
  <si>
    <t>balance acc to proposed RE</t>
  </si>
  <si>
    <t>balance acc to proposed BE</t>
  </si>
  <si>
    <t>ADDITIONAL FUNDS JULY-SEPT</t>
  </si>
  <si>
    <t>expenditure upto sept</t>
  </si>
  <si>
    <t>PROGRESSIVE RELEASE including march</t>
  </si>
  <si>
    <t>oct -dec release</t>
  </si>
  <si>
    <t>BE after demands/savings as communicated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</si>
</sst>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  <font>
      <i/>
      <sz val="11"/>
      <color indexed="8"/>
      <name val="Times New Roman"/>
      <family val="1"/>
    </font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4" borderId="0" xfId="0" applyFill="1" applyBorder="1" applyAlignment="1">
      <alignment vertical="top"/>
    </xf>
    <xf numFmtId="2" fontId="1" fillId="3" borderId="4" xfId="0" applyNumberFormat="1" applyFont="1" applyFill="1" applyBorder="1" applyAlignment="1"/>
    <xf numFmtId="2" fontId="1" fillId="3" borderId="1" xfId="0" applyNumberFormat="1" applyFont="1" applyFill="1" applyBorder="1" applyAlignment="1"/>
    <xf numFmtId="2" fontId="0" fillId="4" borderId="1" xfId="0" applyNumberFormat="1" applyFill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2" fontId="2" fillId="2" borderId="1" xfId="0" applyNumberFormat="1" applyFont="1" applyFill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5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ont="1" applyFill="1" applyBorder="1" applyAlignment="1">
      <alignment vertical="top"/>
    </xf>
    <xf numFmtId="0" fontId="3" fillId="6" borderId="1" xfId="0" applyNumberFormat="1" applyFont="1" applyFill="1" applyBorder="1" applyAlignment="1" applyProtection="1">
      <alignment horizontal="center" vertical="top"/>
    </xf>
    <xf numFmtId="0" fontId="3" fillId="6" borderId="5" xfId="0" applyNumberFormat="1" applyFont="1" applyFill="1" applyBorder="1" applyAlignment="1" applyProtection="1">
      <alignment horizontal="center" vertical="top"/>
    </xf>
    <xf numFmtId="2" fontId="2" fillId="6" borderId="1" xfId="0" applyNumberFormat="1" applyFont="1" applyFill="1" applyBorder="1" applyAlignment="1" applyProtection="1">
      <alignment horizontal="left" vertical="top" wrapText="1"/>
    </xf>
    <xf numFmtId="2" fontId="2" fillId="6" borderId="1" xfId="0" applyNumberFormat="1" applyFont="1" applyFill="1" applyBorder="1" applyAlignment="1" applyProtection="1">
      <alignment horizontal="center" vertical="top" wrapText="1"/>
    </xf>
    <xf numFmtId="2" fontId="1" fillId="6" borderId="1" xfId="0" applyNumberFormat="1" applyFont="1" applyFill="1" applyBorder="1" applyAlignment="1">
      <alignment vertical="top"/>
    </xf>
    <xf numFmtId="0" fontId="3" fillId="7" borderId="1" xfId="0" applyNumberFormat="1" applyFont="1" applyFill="1" applyBorder="1" applyAlignment="1" applyProtection="1">
      <alignment horizontal="center" vertical="top"/>
    </xf>
    <xf numFmtId="0" fontId="3" fillId="7" borderId="5" xfId="0" applyNumberFormat="1" applyFont="1" applyFill="1" applyBorder="1" applyAlignment="1" applyProtection="1">
      <alignment horizontal="center" vertical="top"/>
    </xf>
    <xf numFmtId="2" fontId="2" fillId="7" borderId="1" xfId="0" applyNumberFormat="1" applyFont="1" applyFill="1" applyBorder="1" applyAlignment="1" applyProtection="1">
      <alignment horizontal="left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/>
    </xf>
    <xf numFmtId="0" fontId="4" fillId="0" borderId="5" xfId="0" applyNumberFormat="1" applyFont="1" applyBorder="1" applyAlignment="1" applyProtection="1">
      <alignment horizontal="center" vertical="top"/>
    </xf>
    <xf numFmtId="2" fontId="5" fillId="0" borderId="1" xfId="0" applyNumberFormat="1" applyFont="1" applyBorder="1" applyAlignment="1" applyProtection="1">
      <alignment horizontal="left" vertical="top" wrapText="1"/>
    </xf>
    <xf numFmtId="2" fontId="5" fillId="0" borderId="1" xfId="0" applyNumberFormat="1" applyFont="1" applyBorder="1" applyAlignment="1" applyProtection="1">
      <alignment horizontal="center" vertical="top" wrapText="1"/>
    </xf>
    <xf numFmtId="2" fontId="0" fillId="0" borderId="1" xfId="0" applyNumberFormat="1" applyFont="1" applyBorder="1" applyAlignment="1">
      <alignment vertical="top"/>
    </xf>
    <xf numFmtId="0" fontId="4" fillId="7" borderId="1" xfId="0" applyNumberFormat="1" applyFont="1" applyFill="1" applyBorder="1" applyAlignment="1" applyProtection="1">
      <alignment horizontal="center" vertical="top"/>
    </xf>
    <xf numFmtId="0" fontId="4" fillId="7" borderId="5" xfId="0" applyNumberFormat="1" applyFont="1" applyFill="1" applyBorder="1" applyAlignment="1" applyProtection="1">
      <alignment horizontal="center" vertical="top"/>
    </xf>
    <xf numFmtId="2" fontId="5" fillId="7" borderId="1" xfId="0" applyNumberFormat="1" applyFont="1" applyFill="1" applyBorder="1" applyAlignment="1" applyProtection="1">
      <alignment horizontal="left" vertical="top" wrapText="1"/>
    </xf>
    <xf numFmtId="2" fontId="5" fillId="7" borderId="1" xfId="0" applyNumberFormat="1" applyFont="1" applyFill="1" applyBorder="1" applyAlignment="1" applyProtection="1">
      <alignment horizontal="center" vertical="top" wrapText="1"/>
    </xf>
    <xf numFmtId="0" fontId="4" fillId="8" borderId="1" xfId="0" applyNumberFormat="1" applyFont="1" applyFill="1" applyBorder="1" applyAlignment="1" applyProtection="1">
      <alignment horizontal="center" vertical="top"/>
    </xf>
    <xf numFmtId="0" fontId="4" fillId="8" borderId="5" xfId="0" applyNumberFormat="1" applyFont="1" applyFill="1" applyBorder="1" applyAlignment="1" applyProtection="1">
      <alignment horizontal="center" vertical="top"/>
    </xf>
    <xf numFmtId="2" fontId="5" fillId="8" borderId="1" xfId="0" applyNumberFormat="1" applyFont="1" applyFill="1" applyBorder="1" applyAlignment="1" applyProtection="1">
      <alignment horizontal="left" vertical="top" wrapText="1"/>
    </xf>
    <xf numFmtId="2" fontId="5" fillId="8" borderId="1" xfId="0" applyNumberFormat="1" applyFont="1" applyFill="1" applyBorder="1" applyAlignment="1" applyProtection="1">
      <alignment horizontal="center" vertical="top" wrapText="1"/>
    </xf>
    <xf numFmtId="2" fontId="0" fillId="8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1" fillId="7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3" borderId="5" xfId="0" applyNumberFormat="1" applyFont="1" applyFill="1" applyBorder="1" applyAlignment="1" applyProtection="1">
      <alignment horizontal="center" vertical="top"/>
    </xf>
    <xf numFmtId="0" fontId="3" fillId="9" borderId="1" xfId="0" applyNumberFormat="1" applyFont="1" applyFill="1" applyBorder="1" applyAlignment="1" applyProtection="1">
      <alignment horizontal="center" vertical="top"/>
    </xf>
    <xf numFmtId="0" fontId="3" fillId="9" borderId="5" xfId="0" applyNumberFormat="1" applyFont="1" applyFill="1" applyBorder="1" applyAlignment="1" applyProtection="1">
      <alignment horizontal="center" vertical="top"/>
    </xf>
    <xf numFmtId="2" fontId="2" fillId="9" borderId="1" xfId="0" applyNumberFormat="1" applyFont="1" applyFill="1" applyBorder="1" applyAlignment="1" applyProtection="1">
      <alignment horizontal="left" vertical="top" wrapText="1"/>
    </xf>
    <xf numFmtId="2" fontId="2" fillId="9" borderId="1" xfId="0" applyNumberFormat="1" applyFont="1" applyFill="1" applyBorder="1" applyAlignment="1" applyProtection="1">
      <alignment horizontal="center" vertical="top" wrapText="1"/>
    </xf>
    <xf numFmtId="2" fontId="0" fillId="9" borderId="1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 applyProtection="1">
      <alignment horizontal="center" vertical="top"/>
    </xf>
    <xf numFmtId="0" fontId="4" fillId="6" borderId="5" xfId="0" applyNumberFormat="1" applyFont="1" applyFill="1" applyBorder="1" applyAlignment="1" applyProtection="1">
      <alignment horizontal="center" vertical="top"/>
    </xf>
    <xf numFmtId="2" fontId="5" fillId="6" borderId="1" xfId="0" applyNumberFormat="1" applyFont="1" applyFill="1" applyBorder="1" applyAlignment="1" applyProtection="1">
      <alignment horizontal="left" vertical="top" wrapText="1"/>
    </xf>
    <xf numFmtId="2" fontId="5" fillId="6" borderId="1" xfId="0" applyNumberFormat="1" applyFont="1" applyFill="1" applyBorder="1" applyAlignment="1" applyProtection="1">
      <alignment horizontal="center" vertical="top" wrapText="1"/>
    </xf>
    <xf numFmtId="2" fontId="0" fillId="6" borderId="1" xfId="0" applyNumberFormat="1" applyFont="1" applyFill="1" applyBorder="1" applyAlignment="1">
      <alignment vertical="top"/>
    </xf>
    <xf numFmtId="2" fontId="2" fillId="3" borderId="1" xfId="0" applyNumberFormat="1" applyFont="1" applyFill="1" applyBorder="1" applyAlignment="1" applyProtection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2" fontId="1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0" fontId="3" fillId="8" borderId="1" xfId="0" applyNumberFormat="1" applyFont="1" applyFill="1" applyBorder="1" applyAlignment="1" applyProtection="1">
      <alignment horizontal="center" vertical="top"/>
    </xf>
    <xf numFmtId="0" fontId="3" fillId="8" borderId="5" xfId="0" applyNumberFormat="1" applyFont="1" applyFill="1" applyBorder="1" applyAlignment="1" applyProtection="1">
      <alignment horizontal="center" vertical="top"/>
    </xf>
    <xf numFmtId="2" fontId="2" fillId="8" borderId="1" xfId="0" applyNumberFormat="1" applyFont="1" applyFill="1" applyBorder="1" applyAlignment="1" applyProtection="1">
      <alignment horizontal="left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</xf>
    <xf numFmtId="2" fontId="1" fillId="8" borderId="1" xfId="0" applyNumberFormat="1" applyFont="1" applyFill="1" applyBorder="1" applyAlignment="1">
      <alignment vertical="top"/>
    </xf>
    <xf numFmtId="2" fontId="7" fillId="7" borderId="1" xfId="0" applyNumberFormat="1" applyFont="1" applyFill="1" applyBorder="1" applyAlignment="1"/>
    <xf numFmtId="2" fontId="1" fillId="9" borderId="1" xfId="0" applyNumberFormat="1" applyFont="1" applyFill="1" applyBorder="1" applyAlignment="1">
      <alignment vertical="top"/>
    </xf>
    <xf numFmtId="2" fontId="1" fillId="6" borderId="1" xfId="0" applyNumberFormat="1" applyFont="1" applyFill="1" applyBorder="1" applyAlignment="1" applyProtection="1">
      <alignment horizontal="left" vertical="top"/>
    </xf>
    <xf numFmtId="2" fontId="8" fillId="5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top"/>
    </xf>
    <xf numFmtId="2" fontId="3" fillId="5" borderId="5" xfId="0" applyNumberFormat="1" applyFont="1" applyFill="1" applyBorder="1" applyAlignment="1" applyProtection="1">
      <alignment horizontal="center" vertical="top"/>
    </xf>
    <xf numFmtId="2" fontId="5" fillId="5" borderId="1" xfId="0" applyNumberFormat="1" applyFont="1" applyFill="1" applyBorder="1" applyAlignment="1" applyProtection="1">
      <alignment horizontal="left" vertical="top" wrapText="1"/>
    </xf>
    <xf numFmtId="2" fontId="5" fillId="5" borderId="1" xfId="0" applyNumberFormat="1" applyFont="1" applyFill="1" applyBorder="1" applyAlignment="1" applyProtection="1">
      <alignment horizontal="center" vertical="top" wrapText="1"/>
    </xf>
    <xf numFmtId="2" fontId="0" fillId="5" borderId="1" xfId="0" applyNumberFormat="1" applyFont="1" applyFill="1" applyBorder="1" applyAlignment="1">
      <alignment vertical="top"/>
    </xf>
    <xf numFmtId="0" fontId="4" fillId="5" borderId="5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center" vertical="top"/>
    </xf>
    <xf numFmtId="0" fontId="0" fillId="0" borderId="5" xfId="0" applyNumberFormat="1" applyBorder="1" applyAlignment="1" applyProtection="1">
      <alignment horizontal="center" vertical="top"/>
    </xf>
    <xf numFmtId="2" fontId="0" fillId="0" borderId="1" xfId="0" applyNumberFormat="1" applyBorder="1" applyAlignment="1" applyProtection="1">
      <alignment horizontal="left" vertical="top" wrapText="1"/>
    </xf>
    <xf numFmtId="2" fontId="0" fillId="0" borderId="1" xfId="0" applyNumberFormat="1" applyBorder="1" applyAlignment="1" applyProtection="1">
      <alignment horizontal="center" vertical="top" wrapText="1"/>
    </xf>
    <xf numFmtId="2" fontId="0" fillId="0" borderId="1" xfId="0" applyNumberFormat="1" applyBorder="1" applyAlignment="1">
      <alignment vertical="top"/>
    </xf>
    <xf numFmtId="2" fontId="0" fillId="0" borderId="0" xfId="0" applyNumberFormat="1" applyBorder="1" applyAlignment="1">
      <alignment vertical="top"/>
    </xf>
    <xf numFmtId="2" fontId="0" fillId="4" borderId="1" xfId="0" applyNumberFormat="1" applyFill="1" applyBorder="1" applyAlignment="1">
      <alignment vertical="top" wrapText="1"/>
    </xf>
    <xf numFmtId="2" fontId="0" fillId="2" borderId="1" xfId="0" applyNumberForma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3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6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8" borderId="1" xfId="0" applyNumberFormat="1" applyFont="1" applyFill="1" applyBorder="1" applyAlignment="1">
      <alignment vertical="center"/>
    </xf>
    <xf numFmtId="2" fontId="1" fillId="7" borderId="1" xfId="0" applyNumberFormat="1" applyFont="1" applyFill="1" applyBorder="1" applyAlignment="1">
      <alignment vertical="center"/>
    </xf>
    <xf numFmtId="2" fontId="0" fillId="9" borderId="1" xfId="0" applyNumberFormat="1" applyFont="1" applyFill="1" applyBorder="1" applyAlignment="1">
      <alignment vertical="center"/>
    </xf>
    <xf numFmtId="2" fontId="0" fillId="6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8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vertical="center"/>
    </xf>
    <xf numFmtId="2" fontId="1" fillId="9" borderId="1" xfId="0" applyNumberFormat="1" applyFont="1" applyFill="1" applyBorder="1" applyAlignment="1">
      <alignment vertical="center"/>
    </xf>
    <xf numFmtId="2" fontId="1" fillId="6" borderId="1" xfId="0" applyNumberFormat="1" applyFont="1" applyFill="1" applyBorder="1" applyAlignment="1" applyProtection="1">
      <alignment horizontal="left" vertical="center"/>
    </xf>
    <xf numFmtId="2" fontId="0" fillId="5" borderId="1" xfId="0" applyNumberFormat="1" applyFont="1" applyFill="1" applyBorder="1" applyAlignment="1">
      <alignment vertical="center"/>
    </xf>
    <xf numFmtId="2" fontId="0" fillId="10" borderId="1" xfId="0" applyNumberFormat="1" applyFont="1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2" fontId="9" fillId="0" borderId="1" xfId="0" applyNumberFormat="1" applyFont="1" applyFill="1" applyBorder="1" applyAlignment="1" applyProtection="1">
      <alignment horizontal="right" vertical="top" wrapText="1"/>
      <protection locked="0"/>
    </xf>
    <xf numFmtId="2" fontId="1" fillId="4" borderId="2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11" borderId="1" xfId="0" applyNumberFormat="1" applyFont="1" applyFill="1" applyBorder="1" applyAlignment="1">
      <alignment vertical="center"/>
    </xf>
    <xf numFmtId="2" fontId="1" fillId="11" borderId="1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top" wrapText="1"/>
    </xf>
    <xf numFmtId="2" fontId="0" fillId="0" borderId="1" xfId="0" applyNumberFormat="1" applyBorder="1"/>
    <xf numFmtId="2" fontId="0" fillId="2" borderId="1" xfId="0" applyNumberFormat="1" applyFill="1" applyBorder="1"/>
    <xf numFmtId="0" fontId="1" fillId="0" borderId="0" xfId="0" applyFont="1"/>
    <xf numFmtId="2" fontId="10" fillId="2" borderId="1" xfId="0" applyNumberFormat="1" applyFont="1" applyFill="1" applyBorder="1" applyAlignment="1">
      <alignment vertical="center"/>
    </xf>
    <xf numFmtId="2" fontId="0" fillId="11" borderId="1" xfId="0" applyNumberFormat="1" applyFill="1" applyBorder="1"/>
    <xf numFmtId="2" fontId="0" fillId="12" borderId="1" xfId="0" applyNumberFormat="1" applyFill="1" applyBorder="1"/>
    <xf numFmtId="2" fontId="1" fillId="4" borderId="1" xfId="0" applyNumberFormat="1" applyFont="1" applyFill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0" fillId="3" borderId="1" xfId="0" applyNumberFormat="1" applyFill="1" applyBorder="1"/>
    <xf numFmtId="2" fontId="1" fillId="4" borderId="7" xfId="0" applyNumberFormat="1" applyFont="1" applyFill="1" applyBorder="1" applyAlignment="1">
      <alignment vertical="top" wrapText="1"/>
    </xf>
    <xf numFmtId="2" fontId="1" fillId="6" borderId="5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top"/>
    </xf>
    <xf numFmtId="0" fontId="4" fillId="2" borderId="5" xfId="0" applyNumberFormat="1" applyFont="1" applyFill="1" applyBorder="1" applyAlignment="1" applyProtection="1">
      <alignment horizontal="center" vertical="top"/>
    </xf>
    <xf numFmtId="2" fontId="0" fillId="2" borderId="1" xfId="0" applyNumberFormat="1" applyFont="1" applyFill="1" applyBorder="1" applyAlignment="1">
      <alignment vertical="top"/>
    </xf>
    <xf numFmtId="2" fontId="0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0" xfId="0" applyFill="1"/>
    <xf numFmtId="2" fontId="0" fillId="0" borderId="5" xfId="0" applyNumberFormat="1" applyBorder="1"/>
    <xf numFmtId="2" fontId="1" fillId="7" borderId="5" xfId="0" applyNumberFormat="1" applyFont="1" applyFill="1" applyBorder="1" applyAlignment="1">
      <alignment vertical="top"/>
    </xf>
    <xf numFmtId="2" fontId="1" fillId="9" borderId="5" xfId="0" applyNumberFormat="1" applyFont="1" applyFill="1" applyBorder="1" applyAlignment="1">
      <alignment vertical="top"/>
    </xf>
    <xf numFmtId="2" fontId="0" fillId="9" borderId="5" xfId="0" applyNumberFormat="1" applyFont="1" applyFill="1" applyBorder="1" applyAlignment="1">
      <alignment vertical="top"/>
    </xf>
    <xf numFmtId="2" fontId="0" fillId="2" borderId="5" xfId="0" applyNumberFormat="1" applyFill="1" applyBorder="1"/>
    <xf numFmtId="2" fontId="7" fillId="7" borderId="5" xfId="0" applyNumberFormat="1" applyFont="1" applyFill="1" applyBorder="1" applyAlignment="1"/>
    <xf numFmtId="2" fontId="1" fillId="6" borderId="5" xfId="0" applyNumberFormat="1" applyFont="1" applyFill="1" applyBorder="1" applyAlignment="1">
      <alignment vertical="center"/>
    </xf>
    <xf numFmtId="2" fontId="1" fillId="6" borderId="5" xfId="0" applyNumberFormat="1" applyFont="1" applyFill="1" applyBorder="1" applyAlignment="1" applyProtection="1">
      <alignment horizontal="left" vertical="top"/>
    </xf>
    <xf numFmtId="2" fontId="1" fillId="0" borderId="5" xfId="0" applyNumberFormat="1" applyFont="1" applyBorder="1" applyAlignment="1"/>
    <xf numFmtId="2" fontId="1" fillId="0" borderId="3" xfId="0" applyNumberFormat="1" applyFont="1" applyBorder="1" applyAlignment="1"/>
    <xf numFmtId="2" fontId="1" fillId="0" borderId="1" xfId="0" applyNumberFormat="1" applyFont="1" applyBorder="1"/>
    <xf numFmtId="2" fontId="0" fillId="3" borderId="1" xfId="0" applyNumberFormat="1" applyFont="1" applyFill="1" applyBorder="1"/>
    <xf numFmtId="2" fontId="0" fillId="0" borderId="0" xfId="0" applyNumberFormat="1" applyBorder="1"/>
    <xf numFmtId="2" fontId="11" fillId="3" borderId="1" xfId="0" applyNumberFormat="1" applyFont="1" applyFill="1" applyBorder="1" applyAlignment="1" applyProtection="1">
      <alignment horizontal="left" vertical="top" wrapText="1"/>
    </xf>
    <xf numFmtId="2" fontId="12" fillId="0" borderId="1" xfId="0" applyNumberFormat="1" applyFont="1" applyBorder="1"/>
    <xf numFmtId="2" fontId="0" fillId="13" borderId="1" xfId="0" applyNumberFormat="1" applyFont="1" applyFill="1" applyBorder="1"/>
    <xf numFmtId="2" fontId="0" fillId="13" borderId="1" xfId="0" applyNumberFormat="1" applyFill="1" applyBorder="1"/>
    <xf numFmtId="2" fontId="1" fillId="0" borderId="0" xfId="0" applyNumberFormat="1" applyFont="1" applyBorder="1" applyAlignment="1">
      <alignment horizontal="center"/>
    </xf>
    <xf numFmtId="2" fontId="14" fillId="14" borderId="1" xfId="0" applyNumberFormat="1" applyFont="1" applyFill="1" applyBorder="1" applyAlignment="1">
      <alignment horizontal="left" vertical="top" wrapText="1"/>
    </xf>
    <xf numFmtId="2" fontId="15" fillId="14" borderId="1" xfId="0" applyNumberFormat="1" applyFont="1" applyFill="1" applyBorder="1" applyAlignment="1">
      <alignment horizontal="left" vertical="top" wrapText="1"/>
    </xf>
    <xf numFmtId="2" fontId="1" fillId="4" borderId="3" xfId="0" applyNumberFormat="1" applyFont="1" applyFill="1" applyBorder="1" applyAlignment="1">
      <alignment vertical="top" wrapText="1"/>
    </xf>
    <xf numFmtId="2" fontId="12" fillId="3" borderId="1" xfId="0" applyNumberFormat="1" applyFont="1" applyFill="1" applyBorder="1"/>
    <xf numFmtId="2" fontId="0" fillId="2" borderId="0" xfId="0" applyNumberFormat="1" applyFill="1" applyBorder="1"/>
    <xf numFmtId="2" fontId="13" fillId="3" borderId="1" xfId="0" applyNumberFormat="1" applyFont="1" applyFill="1" applyBorder="1"/>
    <xf numFmtId="2" fontId="0" fillId="0" borderId="1" xfId="0" applyNumberFormat="1" applyFont="1" applyBorder="1"/>
    <xf numFmtId="164" fontId="16" fillId="0" borderId="0" xfId="0" applyNumberFormat="1" applyFont="1" applyAlignment="1"/>
    <xf numFmtId="2" fontId="12" fillId="13" borderId="1" xfId="0" applyNumberFormat="1" applyFont="1" applyFill="1" applyBorder="1"/>
    <xf numFmtId="2" fontId="1" fillId="13" borderId="6" xfId="0" applyNumberFormat="1" applyFont="1" applyFill="1" applyBorder="1" applyAlignment="1">
      <alignment vertical="top" wrapText="1"/>
    </xf>
    <xf numFmtId="2" fontId="3" fillId="13" borderId="1" xfId="0" applyNumberFormat="1" applyFont="1" applyFill="1" applyBorder="1"/>
    <xf numFmtId="2" fontId="12" fillId="0" borderId="0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" fillId="13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5" fillId="15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/>
    </xf>
    <xf numFmtId="0" fontId="3" fillId="2" borderId="5" xfId="0" applyNumberFormat="1" applyFont="1" applyFill="1" applyBorder="1" applyAlignment="1" applyProtection="1">
      <alignment horizontal="center" vertical="top"/>
    </xf>
    <xf numFmtId="2" fontId="1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/>
    <xf numFmtId="2" fontId="12" fillId="2" borderId="1" xfId="0" applyNumberFormat="1" applyFont="1" applyFill="1" applyBorder="1"/>
    <xf numFmtId="2" fontId="19" fillId="0" borderId="8" xfId="0" applyNumberFormat="1" applyFont="1" applyBorder="1" applyAlignment="1">
      <alignment horizontal="right"/>
    </xf>
    <xf numFmtId="2" fontId="19" fillId="0" borderId="9" xfId="0" applyNumberFormat="1" applyFont="1" applyBorder="1" applyAlignment="1">
      <alignment horizontal="right"/>
    </xf>
    <xf numFmtId="2" fontId="19" fillId="0" borderId="9" xfId="0" applyNumberFormat="1" applyFont="1" applyBorder="1" applyAlignment="1"/>
    <xf numFmtId="2" fontId="16" fillId="0" borderId="0" xfId="0" applyNumberFormat="1" applyFont="1" applyAlignment="1"/>
    <xf numFmtId="2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9" fontId="0" fillId="0" borderId="0" xfId="0" applyNumberFormat="1"/>
    <xf numFmtId="0" fontId="0" fillId="0" borderId="1" xfId="0" applyBorder="1"/>
    <xf numFmtId="2" fontId="0" fillId="6" borderId="1" xfId="0" applyNumberFormat="1" applyFill="1" applyBorder="1"/>
    <xf numFmtId="0" fontId="0" fillId="6" borderId="0" xfId="0" applyFill="1"/>
    <xf numFmtId="2" fontId="0" fillId="6" borderId="5" xfId="0" applyNumberFormat="1" applyFont="1" applyFill="1" applyBorder="1" applyAlignment="1">
      <alignment vertical="top"/>
    </xf>
    <xf numFmtId="2" fontId="12" fillId="0" borderId="0" xfId="0" applyNumberFormat="1" applyFont="1"/>
    <xf numFmtId="2" fontId="20" fillId="16" borderId="1" xfId="0" applyNumberFormat="1" applyFont="1" applyFill="1" applyBorder="1" applyAlignment="1" applyProtection="1">
      <alignment horizontal="center" vertical="top" wrapText="1"/>
    </xf>
    <xf numFmtId="2" fontId="0" fillId="2" borderId="0" xfId="0" applyNumberFormat="1" applyFill="1"/>
    <xf numFmtId="2" fontId="2" fillId="6" borderId="1" xfId="0" applyNumberFormat="1" applyFont="1" applyFill="1" applyBorder="1" applyAlignment="1" applyProtection="1">
      <alignment horizontal="left" vertical="top"/>
    </xf>
    <xf numFmtId="2" fontId="2" fillId="9" borderId="1" xfId="0" applyNumberFormat="1" applyFont="1" applyFill="1" applyBorder="1" applyAlignment="1" applyProtection="1">
      <alignment horizontal="left" vertical="top"/>
    </xf>
    <xf numFmtId="2" fontId="5" fillId="3" borderId="1" xfId="0" applyNumberFormat="1" applyFont="1" applyFill="1" applyBorder="1" applyAlignment="1" applyProtection="1">
      <alignment horizontal="left" vertical="top"/>
    </xf>
    <xf numFmtId="2" fontId="21" fillId="16" borderId="0" xfId="0" applyNumberFormat="1" applyFont="1" applyFill="1" applyBorder="1" applyAlignment="1" applyProtection="1">
      <alignment horizontal="right" wrapText="1"/>
    </xf>
    <xf numFmtId="2" fontId="12" fillId="2" borderId="0" xfId="0" applyNumberFormat="1" applyFont="1" applyFill="1"/>
    <xf numFmtId="2" fontId="1" fillId="6" borderId="3" xfId="0" applyNumberFormat="1" applyFont="1" applyFill="1" applyBorder="1" applyAlignment="1">
      <alignment vertical="top"/>
    </xf>
    <xf numFmtId="2" fontId="0" fillId="6" borderId="3" xfId="0" applyNumberFormat="1" applyFont="1" applyFill="1" applyBorder="1" applyAlignment="1">
      <alignment vertical="top"/>
    </xf>
    <xf numFmtId="2" fontId="1" fillId="7" borderId="3" xfId="0" applyNumberFormat="1" applyFont="1" applyFill="1" applyBorder="1" applyAlignment="1">
      <alignment vertical="top"/>
    </xf>
    <xf numFmtId="0" fontId="13" fillId="3" borderId="1" xfId="0" applyFont="1" applyFill="1" applyBorder="1"/>
    <xf numFmtId="2" fontId="10" fillId="3" borderId="1" xfId="0" applyNumberFormat="1" applyFont="1" applyFill="1" applyBorder="1" applyAlignment="1">
      <alignment vertical="top"/>
    </xf>
    <xf numFmtId="2" fontId="13" fillId="3" borderId="1" xfId="0" applyNumberFormat="1" applyFont="1" applyFill="1" applyBorder="1" applyAlignment="1">
      <alignment vertical="top"/>
    </xf>
    <xf numFmtId="2" fontId="22" fillId="3" borderId="1" xfId="0" applyNumberFormat="1" applyFont="1" applyFill="1" applyBorder="1" applyAlignment="1"/>
    <xf numFmtId="2" fontId="10" fillId="3" borderId="1" xfId="0" applyNumberFormat="1" applyFont="1" applyFill="1" applyBorder="1" applyAlignment="1" applyProtection="1">
      <alignment horizontal="left" vertical="top"/>
    </xf>
    <xf numFmtId="2" fontId="13" fillId="3" borderId="0" xfId="0" applyNumberFormat="1" applyFont="1" applyFill="1"/>
    <xf numFmtId="2" fontId="13" fillId="3" borderId="5" xfId="0" applyNumberFormat="1" applyFont="1" applyFill="1" applyBorder="1" applyAlignment="1">
      <alignment vertical="top"/>
    </xf>
    <xf numFmtId="2" fontId="10" fillId="3" borderId="5" xfId="0" applyNumberFormat="1" applyFont="1" applyFill="1" applyBorder="1" applyAlignment="1">
      <alignment vertical="top"/>
    </xf>
    <xf numFmtId="0" fontId="1" fillId="0" borderId="1" xfId="0" applyFont="1" applyBorder="1"/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Z311"/>
  <sheetViews>
    <sheetView tabSelected="1" view="pageBreakPreview" zoomScale="82" zoomScaleNormal="80" zoomScaleSheetLayoutView="82" workbookViewId="0">
      <pane xSplit="4" ySplit="4" topLeftCell="E275" activePane="bottomRight" state="frozen"/>
      <selection pane="topRight" activeCell="E1" sqref="E1"/>
      <selection pane="bottomLeft" activeCell="A5" sqref="A5"/>
      <selection pane="bottomRight" activeCell="DB1" sqref="DB1:DI1048576"/>
    </sheetView>
  </sheetViews>
  <sheetFormatPr defaultRowHeight="15"/>
  <cols>
    <col min="1" max="1" width="9.28515625" style="74" bestFit="1" customWidth="1"/>
    <col min="2" max="2" width="15.85546875" style="74" hidden="1" customWidth="1"/>
    <col min="3" max="3" width="21.5703125" style="75" hidden="1" customWidth="1"/>
    <col min="4" max="4" width="54.140625" style="76" customWidth="1"/>
    <col min="5" max="5" width="17.42578125" style="77" hidden="1" customWidth="1"/>
    <col min="6" max="6" width="13.7109375" style="78" hidden="1" customWidth="1"/>
    <col min="7" max="8" width="14.42578125" style="78" hidden="1" customWidth="1"/>
    <col min="9" max="9" width="20.140625" style="78" hidden="1" customWidth="1"/>
    <col min="10" max="10" width="15.5703125" style="79" hidden="1" customWidth="1"/>
    <col min="11" max="11" width="12.42578125" hidden="1" customWidth="1"/>
    <col min="12" max="12" width="9.140625" hidden="1" customWidth="1"/>
    <col min="13" max="13" width="14" hidden="1" customWidth="1"/>
    <col min="14" max="14" width="12.140625" hidden="1" customWidth="1"/>
    <col min="15" max="16" width="9.140625" hidden="1" customWidth="1"/>
    <col min="17" max="17" width="11" hidden="1" customWidth="1"/>
    <col min="18" max="19" width="13.42578125" hidden="1" customWidth="1"/>
    <col min="20" max="20" width="14.28515625" hidden="1" customWidth="1"/>
    <col min="21" max="21" width="14.85546875" hidden="1" customWidth="1"/>
    <col min="22" max="22" width="15.28515625" hidden="1" customWidth="1"/>
    <col min="23" max="23" width="14.42578125" hidden="1" customWidth="1"/>
    <col min="24" max="24" width="17" hidden="1" customWidth="1"/>
    <col min="25" max="29" width="14.42578125" hidden="1" customWidth="1"/>
    <col min="30" max="30" width="15.42578125" hidden="1" customWidth="1"/>
    <col min="31" max="32" width="13.85546875" hidden="1" customWidth="1"/>
    <col min="33" max="33" width="13" style="104" hidden="1" customWidth="1"/>
    <col min="34" max="34" width="12.7109375" style="104" hidden="1" customWidth="1"/>
    <col min="35" max="35" width="13.140625" style="104" hidden="1" customWidth="1"/>
    <col min="36" max="36" width="18.7109375" style="108" hidden="1" customWidth="1"/>
    <col min="37" max="37" width="12.85546875" style="108" hidden="1" customWidth="1"/>
    <col min="38" max="38" width="10.7109375" style="108" hidden="1" customWidth="1"/>
    <col min="39" max="39" width="12.5703125" style="108" hidden="1" customWidth="1"/>
    <col min="40" max="42" width="19.5703125" style="108" hidden="1" customWidth="1"/>
    <col min="43" max="43" width="14" style="108" hidden="1" customWidth="1"/>
    <col min="44" max="53" width="14.28515625" style="108" hidden="1" customWidth="1"/>
    <col min="54" max="58" width="14.28515625" style="139" hidden="1" customWidth="1"/>
    <col min="59" max="59" width="17.140625" style="139" hidden="1" customWidth="1"/>
    <col min="60" max="66" width="14.28515625" style="108" hidden="1" customWidth="1"/>
    <col min="67" max="67" width="15.5703125" style="108" hidden="1" customWidth="1"/>
    <col min="68" max="69" width="14.28515625" style="108" hidden="1" customWidth="1"/>
    <col min="70" max="70" width="17.140625" style="108" hidden="1" customWidth="1"/>
    <col min="71" max="72" width="14.28515625" style="108" hidden="1" customWidth="1"/>
    <col min="73" max="73" width="16.5703125" style="108" hidden="1" customWidth="1"/>
    <col min="74" max="78" width="14.28515625" style="108" hidden="1" customWidth="1"/>
    <col min="79" max="79" width="15.5703125" style="108" hidden="1" customWidth="1"/>
    <col min="80" max="80" width="18.5703125" style="108" hidden="1" customWidth="1"/>
    <col min="81" max="81" width="10" hidden="1" customWidth="1"/>
    <col min="82" max="82" width="12.42578125" hidden="1" customWidth="1"/>
    <col min="84" max="84" width="9.28515625" bestFit="1" customWidth="1"/>
    <col min="85" max="86" width="9.28515625" hidden="1" customWidth="1"/>
    <col min="87" max="88" width="9.28515625" style="108" hidden="1" customWidth="1"/>
    <col min="89" max="89" width="10" style="108" customWidth="1"/>
    <col min="90" max="92" width="9.28515625" style="108" customWidth="1"/>
    <col min="93" max="93" width="10.5703125" style="108" hidden="1" customWidth="1"/>
    <col min="94" max="94" width="10" style="108" hidden="1" customWidth="1"/>
    <col min="95" max="95" width="10.7109375" style="108" hidden="1" customWidth="1"/>
    <col min="96" max="96" width="9.5703125" style="108" hidden="1" customWidth="1"/>
    <col min="97" max="97" width="9.85546875" style="108" hidden="1" customWidth="1"/>
    <col min="98" max="98" width="11.140625" style="108" hidden="1" customWidth="1"/>
    <col min="99" max="99" width="9.85546875" style="108" customWidth="1"/>
    <col min="100" max="106" width="13.140625" style="108" customWidth="1"/>
    <col min="107" max="112" width="13.140625" style="108" hidden="1" customWidth="1"/>
    <col min="113" max="114" width="9.140625" style="174"/>
    <col min="115" max="118" width="0" hidden="1" customWidth="1"/>
    <col min="119" max="119" width="19.42578125" style="104" hidden="1" customWidth="1"/>
    <col min="120" max="120" width="13.42578125" style="104" hidden="1" customWidth="1"/>
    <col min="121" max="121" width="10.28515625" style="104" hidden="1" customWidth="1"/>
    <col min="122" max="122" width="14.7109375" style="104" hidden="1" customWidth="1"/>
    <col min="123" max="125" width="0" hidden="1" customWidth="1"/>
    <col min="127" max="127" width="19.7109375" customWidth="1"/>
  </cols>
  <sheetData>
    <row r="1" spans="1:124" ht="8.25" customHeight="1">
      <c r="A1" s="1"/>
      <c r="B1" s="2"/>
      <c r="C1" s="2"/>
      <c r="D1" s="3" t="s">
        <v>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24" ht="28.5" customHeight="1">
      <c r="A2" s="5"/>
      <c r="B2" s="5"/>
      <c r="C2" s="6"/>
      <c r="D2" s="7"/>
      <c r="E2" s="8"/>
      <c r="F2" s="198" t="s">
        <v>520</v>
      </c>
      <c r="G2" s="199"/>
      <c r="H2" s="107" t="s">
        <v>534</v>
      </c>
      <c r="I2" s="82"/>
      <c r="J2" s="200" t="s">
        <v>531</v>
      </c>
      <c r="K2" s="200"/>
      <c r="L2" s="200"/>
      <c r="M2" s="200"/>
      <c r="N2" s="200"/>
      <c r="O2" s="200"/>
      <c r="P2" s="200"/>
      <c r="Q2" s="200"/>
      <c r="R2" s="200"/>
      <c r="S2" s="200"/>
      <c r="BE2" s="139" t="e">
        <f>#REF!-AY170</f>
        <v>#REF!</v>
      </c>
      <c r="BI2" s="108">
        <f>280+BI14</f>
        <v>545.32999999999993</v>
      </c>
      <c r="BJ2" s="108">
        <f>+BJ299+2584</f>
        <v>4988.34</v>
      </c>
      <c r="BK2" s="108">
        <f>550-BI14</f>
        <v>284.67</v>
      </c>
      <c r="BM2" s="108">
        <f>21.47-30.12</f>
        <v>-8.6500000000000021</v>
      </c>
      <c r="BU2" s="108">
        <f>+CA166-1201.7</f>
        <v>0</v>
      </c>
      <c r="CB2" s="108" t="s">
        <v>589</v>
      </c>
      <c r="CE2" s="205" t="s">
        <v>594</v>
      </c>
      <c r="CF2" s="205"/>
      <c r="CR2" s="108">
        <f>65.05+22</f>
        <v>87.05</v>
      </c>
      <c r="CT2" s="108">
        <f>7570-CU298</f>
        <v>0</v>
      </c>
      <c r="DI2" s="197" t="s">
        <v>589</v>
      </c>
      <c r="DJ2" s="108"/>
    </row>
    <row r="3" spans="1:124" ht="46.5" customHeight="1">
      <c r="A3" s="5"/>
      <c r="B3" s="5"/>
      <c r="C3" s="6"/>
      <c r="D3" s="7"/>
      <c r="E3" s="8"/>
      <c r="F3" s="83"/>
      <c r="G3" s="84"/>
      <c r="H3" s="107"/>
      <c r="I3" s="82"/>
      <c r="J3" s="200" t="s">
        <v>521</v>
      </c>
      <c r="K3" s="200"/>
      <c r="L3" s="200"/>
      <c r="M3" s="200"/>
      <c r="N3" s="200" t="s">
        <v>0</v>
      </c>
      <c r="O3" s="200"/>
      <c r="P3" s="200"/>
      <c r="Q3" s="200"/>
      <c r="R3" s="198" t="s">
        <v>1</v>
      </c>
      <c r="S3" s="199"/>
      <c r="V3" s="198" t="s">
        <v>537</v>
      </c>
      <c r="W3" s="199"/>
      <c r="X3" s="198" t="s">
        <v>535</v>
      </c>
      <c r="Y3" s="199"/>
      <c r="Z3" s="198" t="s">
        <v>544</v>
      </c>
      <c r="AA3" s="201"/>
      <c r="AB3" s="201"/>
      <c r="AC3" s="115"/>
      <c r="AD3" s="198" t="s">
        <v>545</v>
      </c>
      <c r="AE3" s="199"/>
      <c r="AG3" s="206" t="s">
        <v>539</v>
      </c>
      <c r="AH3" s="206"/>
      <c r="AI3" s="202" t="s">
        <v>538</v>
      </c>
      <c r="AJ3" s="207"/>
      <c r="AK3" s="207" t="s">
        <v>546</v>
      </c>
      <c r="AL3" s="209"/>
      <c r="AM3" s="135" t="s">
        <v>548</v>
      </c>
      <c r="AN3" s="136"/>
      <c r="AO3" s="136" t="s">
        <v>549</v>
      </c>
      <c r="AP3" s="136"/>
      <c r="AQ3" s="207" t="s">
        <v>547</v>
      </c>
      <c r="AR3" s="209"/>
      <c r="AS3" s="206" t="s">
        <v>551</v>
      </c>
      <c r="AT3" s="206"/>
      <c r="AU3" s="206" t="s">
        <v>552</v>
      </c>
      <c r="AV3" s="206"/>
      <c r="AW3" s="216" t="s">
        <v>564</v>
      </c>
      <c r="AX3" s="217"/>
      <c r="AY3" s="207" t="s">
        <v>567</v>
      </c>
      <c r="AZ3" s="208"/>
      <c r="BA3" s="209"/>
      <c r="BB3" s="144"/>
      <c r="BC3" s="144"/>
      <c r="BD3" s="144"/>
      <c r="BE3" s="144"/>
      <c r="BF3" s="144"/>
      <c r="BG3" s="144"/>
      <c r="BH3" s="206" t="s">
        <v>575</v>
      </c>
      <c r="BI3" s="206"/>
      <c r="BJ3" s="157" t="s">
        <v>576</v>
      </c>
      <c r="BK3" s="157"/>
      <c r="BL3" s="207" t="s">
        <v>577</v>
      </c>
      <c r="BM3" s="208"/>
      <c r="BN3" s="209"/>
      <c r="BO3" s="158"/>
      <c r="BP3" s="158"/>
      <c r="BQ3" s="158"/>
      <c r="BR3" s="158"/>
      <c r="BS3" s="160"/>
      <c r="BT3" s="160"/>
      <c r="BU3" s="207" t="s">
        <v>586</v>
      </c>
      <c r="BV3" s="209"/>
      <c r="BW3" s="207" t="s">
        <v>585</v>
      </c>
      <c r="BX3" s="209"/>
      <c r="BY3" s="172" t="s">
        <v>590</v>
      </c>
      <c r="BZ3" s="171"/>
      <c r="CA3" s="207" t="s">
        <v>584</v>
      </c>
      <c r="CB3" s="209"/>
      <c r="CC3" t="s">
        <v>591</v>
      </c>
      <c r="CD3" s="173">
        <v>0.15</v>
      </c>
      <c r="CE3" s="110" t="s">
        <v>592</v>
      </c>
      <c r="CF3" s="110"/>
      <c r="CG3" s="214" t="s">
        <v>595</v>
      </c>
      <c r="CH3" s="215"/>
      <c r="CK3" s="202" t="s">
        <v>593</v>
      </c>
      <c r="CL3" s="202"/>
      <c r="CM3" s="207" t="s">
        <v>596</v>
      </c>
      <c r="CN3" s="209"/>
      <c r="CO3" s="202" t="s">
        <v>597</v>
      </c>
      <c r="CP3" s="202"/>
      <c r="CQ3" s="202" t="s">
        <v>598</v>
      </c>
      <c r="CR3" s="202"/>
      <c r="CS3" s="218" t="s">
        <v>599</v>
      </c>
      <c r="CT3" s="218"/>
      <c r="CU3" s="207" t="s">
        <v>612</v>
      </c>
      <c r="CV3" s="209"/>
      <c r="CW3" s="137" t="s">
        <v>600</v>
      </c>
      <c r="CX3" s="137"/>
      <c r="CY3" s="207" t="s">
        <v>608</v>
      </c>
      <c r="CZ3" s="209"/>
      <c r="DA3" s="207" t="s">
        <v>610</v>
      </c>
      <c r="DB3" s="209"/>
      <c r="DC3" s="210" t="s">
        <v>609</v>
      </c>
      <c r="DD3" s="211"/>
      <c r="DE3" s="108" t="s">
        <v>604</v>
      </c>
      <c r="DG3" s="204" t="s">
        <v>605</v>
      </c>
      <c r="DH3" s="204"/>
      <c r="DI3" s="203" t="s">
        <v>611</v>
      </c>
      <c r="DJ3" s="203"/>
      <c r="DK3" s="212" t="s">
        <v>606</v>
      </c>
      <c r="DL3" s="213"/>
      <c r="DM3" s="213" t="s">
        <v>607</v>
      </c>
      <c r="DN3" s="213"/>
      <c r="DO3" s="104" t="s">
        <v>601</v>
      </c>
      <c r="DP3" s="104" t="s">
        <v>603</v>
      </c>
      <c r="DQ3" s="104" t="s">
        <v>602</v>
      </c>
    </row>
    <row r="4" spans="1:124" ht="60">
      <c r="A4" s="9" t="s">
        <v>4</v>
      </c>
      <c r="B4" s="9" t="s">
        <v>5</v>
      </c>
      <c r="C4" s="10" t="s">
        <v>6</v>
      </c>
      <c r="D4" s="11" t="s">
        <v>7</v>
      </c>
      <c r="E4" s="11" t="s">
        <v>8</v>
      </c>
      <c r="F4" s="80" t="s">
        <v>519</v>
      </c>
      <c r="G4" s="80" t="s">
        <v>2</v>
      </c>
      <c r="H4" s="80" t="s">
        <v>519</v>
      </c>
      <c r="I4" s="80" t="s">
        <v>2</v>
      </c>
      <c r="J4" s="12" t="s">
        <v>522</v>
      </c>
      <c r="K4" s="12" t="s">
        <v>523</v>
      </c>
      <c r="L4" s="12" t="s">
        <v>524</v>
      </c>
      <c r="M4" s="12" t="s">
        <v>525</v>
      </c>
      <c r="N4" s="12" t="s">
        <v>526</v>
      </c>
      <c r="O4" s="12" t="s">
        <v>527</v>
      </c>
      <c r="P4" s="12" t="s">
        <v>528</v>
      </c>
      <c r="Q4" s="12" t="s">
        <v>529</v>
      </c>
      <c r="R4" s="85" t="s">
        <v>530</v>
      </c>
      <c r="S4" s="85" t="s">
        <v>2</v>
      </c>
      <c r="T4" s="103" t="s">
        <v>532</v>
      </c>
      <c r="U4" s="103" t="s">
        <v>533</v>
      </c>
      <c r="V4" s="85" t="s">
        <v>530</v>
      </c>
      <c r="W4" s="85" t="s">
        <v>2</v>
      </c>
      <c r="X4" s="85" t="s">
        <v>530</v>
      </c>
      <c r="Y4" s="85" t="s">
        <v>2</v>
      </c>
      <c r="Z4" s="85" t="s">
        <v>542</v>
      </c>
      <c r="AA4" s="85" t="s">
        <v>543</v>
      </c>
      <c r="AB4" s="85" t="s">
        <v>540</v>
      </c>
      <c r="AC4" s="85" t="s">
        <v>541</v>
      </c>
      <c r="AD4" s="85" t="s">
        <v>530</v>
      </c>
      <c r="AE4" s="85" t="s">
        <v>2</v>
      </c>
      <c r="AF4" s="114" t="s">
        <v>536</v>
      </c>
      <c r="AG4" s="103" t="s">
        <v>519</v>
      </c>
      <c r="AH4" s="103" t="s">
        <v>9</v>
      </c>
      <c r="AI4" s="117" t="s">
        <v>519</v>
      </c>
      <c r="AJ4" s="85" t="s">
        <v>9</v>
      </c>
      <c r="AK4" s="85" t="s">
        <v>519</v>
      </c>
      <c r="AL4" s="85" t="s">
        <v>9</v>
      </c>
      <c r="AM4" s="85" t="s">
        <v>519</v>
      </c>
      <c r="AN4" s="85" t="s">
        <v>9</v>
      </c>
      <c r="AO4" s="85" t="s">
        <v>519</v>
      </c>
      <c r="AP4" s="85" t="s">
        <v>9</v>
      </c>
      <c r="AQ4" s="85" t="s">
        <v>519</v>
      </c>
      <c r="AR4" s="85" t="s">
        <v>9</v>
      </c>
      <c r="AS4" s="85" t="s">
        <v>519</v>
      </c>
      <c r="AT4" s="85" t="s">
        <v>9</v>
      </c>
      <c r="AU4" s="85" t="s">
        <v>519</v>
      </c>
      <c r="AV4" s="85" t="s">
        <v>9</v>
      </c>
      <c r="AW4" s="85" t="s">
        <v>519</v>
      </c>
      <c r="AX4" s="85" t="s">
        <v>9</v>
      </c>
      <c r="AY4" s="85" t="s">
        <v>519</v>
      </c>
      <c r="AZ4" s="85" t="s">
        <v>9</v>
      </c>
      <c r="BA4" s="85" t="s">
        <v>550</v>
      </c>
      <c r="BB4" s="85" t="s">
        <v>568</v>
      </c>
      <c r="BC4" s="85" t="s">
        <v>569</v>
      </c>
      <c r="BD4" s="147" t="s">
        <v>572</v>
      </c>
      <c r="BE4" s="147" t="s">
        <v>573</v>
      </c>
      <c r="BF4" s="147" t="s">
        <v>570</v>
      </c>
      <c r="BG4" s="154" t="s">
        <v>571</v>
      </c>
      <c r="BH4" s="155" t="s">
        <v>566</v>
      </c>
      <c r="BI4" s="155" t="s">
        <v>565</v>
      </c>
      <c r="BJ4" s="155" t="s">
        <v>566</v>
      </c>
      <c r="BK4" s="155" t="s">
        <v>565</v>
      </c>
      <c r="BL4" s="155" t="s">
        <v>580</v>
      </c>
      <c r="BM4" s="155" t="s">
        <v>2</v>
      </c>
      <c r="BN4" s="155" t="s">
        <v>574</v>
      </c>
      <c r="BO4" s="159" t="s">
        <v>579</v>
      </c>
      <c r="BP4" s="159" t="s">
        <v>578</v>
      </c>
      <c r="BQ4" s="147" t="s">
        <v>572</v>
      </c>
      <c r="BR4" s="147" t="s">
        <v>573</v>
      </c>
      <c r="BS4" s="147" t="s">
        <v>581</v>
      </c>
      <c r="BT4" s="154" t="s">
        <v>582</v>
      </c>
      <c r="BU4" s="147" t="s">
        <v>580</v>
      </c>
      <c r="BV4" s="147" t="s">
        <v>2</v>
      </c>
      <c r="BW4" s="147" t="s">
        <v>580</v>
      </c>
      <c r="BX4" s="147" t="s">
        <v>2</v>
      </c>
      <c r="BY4" s="147" t="s">
        <v>587</v>
      </c>
      <c r="BZ4" s="147" t="s">
        <v>588</v>
      </c>
      <c r="CA4" s="147" t="s">
        <v>580</v>
      </c>
      <c r="CB4" s="147" t="s">
        <v>2</v>
      </c>
      <c r="CC4" s="147" t="s">
        <v>580</v>
      </c>
      <c r="CD4" s="147" t="s">
        <v>2</v>
      </c>
      <c r="CE4" s="147" t="s">
        <v>580</v>
      </c>
      <c r="CF4" s="147" t="s">
        <v>2</v>
      </c>
      <c r="CG4" s="147" t="s">
        <v>580</v>
      </c>
      <c r="CH4" s="147" t="s">
        <v>2</v>
      </c>
      <c r="CI4" s="85"/>
      <c r="CJ4" s="85"/>
      <c r="CK4" s="85" t="s">
        <v>580</v>
      </c>
      <c r="CL4" s="85" t="s">
        <v>2</v>
      </c>
      <c r="CM4" s="85" t="s">
        <v>580</v>
      </c>
      <c r="CN4" s="85" t="s">
        <v>2</v>
      </c>
      <c r="CO4" s="85" t="s">
        <v>580</v>
      </c>
      <c r="CP4" s="85" t="s">
        <v>2</v>
      </c>
      <c r="CQ4" s="85" t="s">
        <v>580</v>
      </c>
      <c r="CR4" s="85" t="s">
        <v>2</v>
      </c>
      <c r="CS4" s="85" t="s">
        <v>580</v>
      </c>
      <c r="CT4" s="85" t="s">
        <v>2</v>
      </c>
      <c r="CU4" s="85" t="s">
        <v>580</v>
      </c>
      <c r="CV4" s="85" t="s">
        <v>2</v>
      </c>
      <c r="CW4" s="85" t="s">
        <v>580</v>
      </c>
      <c r="CX4" s="85" t="s">
        <v>2</v>
      </c>
      <c r="CY4" s="85" t="s">
        <v>580</v>
      </c>
      <c r="CZ4" s="85" t="s">
        <v>2</v>
      </c>
      <c r="DA4" s="85" t="s">
        <v>580</v>
      </c>
      <c r="DB4" s="85" t="s">
        <v>2</v>
      </c>
      <c r="DC4" s="85" t="s">
        <v>580</v>
      </c>
      <c r="DD4" s="85" t="s">
        <v>2</v>
      </c>
      <c r="DE4" s="85" t="s">
        <v>580</v>
      </c>
      <c r="DF4" s="85" t="s">
        <v>2</v>
      </c>
      <c r="DG4" s="85" t="s">
        <v>580</v>
      </c>
      <c r="DH4" s="85" t="s">
        <v>2</v>
      </c>
      <c r="DI4" s="85" t="s">
        <v>580</v>
      </c>
      <c r="DJ4" s="85" t="s">
        <v>2</v>
      </c>
      <c r="DK4" s="147"/>
      <c r="DL4" s="85"/>
      <c r="DM4" s="85"/>
      <c r="DN4" s="85"/>
      <c r="DO4" s="85" t="s">
        <v>580</v>
      </c>
      <c r="DP4" s="85" t="s">
        <v>2</v>
      </c>
      <c r="DQ4" s="85" t="s">
        <v>580</v>
      </c>
      <c r="DR4" s="85" t="s">
        <v>2</v>
      </c>
    </row>
    <row r="5" spans="1:124" ht="18.75">
      <c r="A5" s="13">
        <v>1</v>
      </c>
      <c r="B5" s="13"/>
      <c r="C5" s="14"/>
      <c r="D5" s="15" t="s">
        <v>10</v>
      </c>
      <c r="E5" s="16"/>
      <c r="F5" s="81">
        <v>2827.22</v>
      </c>
      <c r="G5" s="81">
        <v>545.40000000000009</v>
      </c>
      <c r="H5" s="81">
        <v>2827.22</v>
      </c>
      <c r="I5" s="17">
        <v>670</v>
      </c>
      <c r="J5" s="86">
        <v>3100</v>
      </c>
      <c r="K5" s="87">
        <v>225</v>
      </c>
      <c r="L5" s="87">
        <v>0</v>
      </c>
      <c r="M5" s="87">
        <f>J5+K5+L5</f>
        <v>3325</v>
      </c>
      <c r="N5" s="87">
        <v>0</v>
      </c>
      <c r="O5" s="87">
        <v>0</v>
      </c>
      <c r="P5" s="87">
        <v>0</v>
      </c>
      <c r="Q5" s="87">
        <f>N5+O5+P5</f>
        <v>0</v>
      </c>
      <c r="R5" s="87">
        <f>Q5+M5</f>
        <v>3325</v>
      </c>
      <c r="S5" s="87">
        <v>600</v>
      </c>
      <c r="V5" s="17">
        <f>ROUND(H5*1.0583,2)</f>
        <v>2992.05</v>
      </c>
      <c r="W5" s="17">
        <f>ROUND(I5*1.0327,2)</f>
        <v>691.91</v>
      </c>
      <c r="X5" s="108">
        <f>R5-V5</f>
        <v>332.94999999999982</v>
      </c>
      <c r="Y5" s="109">
        <f>S5-W5</f>
        <v>-91.909999999999968</v>
      </c>
      <c r="Z5" s="116">
        <f>AD5</f>
        <v>2992.05</v>
      </c>
      <c r="AA5" s="116"/>
      <c r="AB5" s="116">
        <f>Z5+AA5</f>
        <v>2992.05</v>
      </c>
      <c r="AC5" s="109">
        <f>AD5-AB5</f>
        <v>0</v>
      </c>
      <c r="AD5" s="108">
        <f>IF(X5&gt;0,V5,R5)</f>
        <v>2992.05</v>
      </c>
      <c r="AE5" s="108">
        <f>IF(Y5&gt;0,W5,S5)</f>
        <v>600</v>
      </c>
      <c r="AF5" s="108">
        <f>ROUND(S5*0.9022,2)</f>
        <v>541.32000000000005</v>
      </c>
      <c r="AG5" s="108">
        <f>ROUND(AD5/4,0)</f>
        <v>748</v>
      </c>
      <c r="AH5" s="108">
        <f>ROUND(AE5/4,0)</f>
        <v>150</v>
      </c>
      <c r="AI5" s="127">
        <f>ROUND(AD5/12,0)</f>
        <v>249</v>
      </c>
      <c r="AJ5" s="108">
        <f>ROUND(AE5/12,0)</f>
        <v>50</v>
      </c>
      <c r="AM5" s="108">
        <f>ROUND(AD5*25%,2)</f>
        <v>748.01</v>
      </c>
      <c r="AN5" s="108">
        <f>ROUND(AE5*24.35%,2)</f>
        <v>146.1</v>
      </c>
      <c r="AQ5" s="108">
        <f>+AM5+AK5+AG5+AO5</f>
        <v>1496.01</v>
      </c>
      <c r="AR5" s="108">
        <f>+AN5+AL5+AH5+AP5</f>
        <v>296.10000000000002</v>
      </c>
      <c r="AU5" s="108">
        <f t="shared" ref="AU5:AU64" si="0">ROUND(AD5*25%,2)</f>
        <v>748.01</v>
      </c>
      <c r="AV5" s="108">
        <f>ROUND(AE5*25%,2)</f>
        <v>150</v>
      </c>
      <c r="AY5" s="108">
        <f>+AQ5+AS5+AU5+AW5+AI5</f>
        <v>2493.02</v>
      </c>
      <c r="AZ5" s="108">
        <f>+AR5+AT5+AV5+AX5+AJ5</f>
        <v>496.1</v>
      </c>
      <c r="BA5" s="108">
        <f>+AY5+AZ5</f>
        <v>2989.12</v>
      </c>
      <c r="BB5" s="139">
        <v>2275.7399999999998</v>
      </c>
      <c r="BC5" s="139">
        <v>495.56</v>
      </c>
      <c r="BD5" s="139">
        <f>AY5-BB5</f>
        <v>217.2800000000002</v>
      </c>
      <c r="BE5" s="139">
        <f>AZ5-BC5</f>
        <v>0.54000000000002046</v>
      </c>
      <c r="BF5" s="139">
        <f>ROUND(BB5/10*2,2)</f>
        <v>455.15</v>
      </c>
      <c r="BG5" s="139">
        <f>ROUND(BC5/10*2,2)</f>
        <v>99.11</v>
      </c>
      <c r="BH5" s="108">
        <v>118.94</v>
      </c>
      <c r="BI5" s="143">
        <v>49.29</v>
      </c>
      <c r="BJ5" s="143"/>
      <c r="BK5" s="143"/>
      <c r="BL5" s="108">
        <f t="shared" ref="BL5:BL67" si="1">+BH5+AY5+BJ5</f>
        <v>2611.96</v>
      </c>
      <c r="BM5" s="108">
        <f>+BI5+AZ5+BK5</f>
        <v>545.39</v>
      </c>
      <c r="BN5" s="108">
        <f>BL5+BM5</f>
        <v>3157.35</v>
      </c>
      <c r="BO5" s="108">
        <v>2536.19</v>
      </c>
      <c r="BP5" s="127">
        <v>527.89</v>
      </c>
      <c r="BQ5" s="108">
        <f>BL5-BO5</f>
        <v>75.769999999999982</v>
      </c>
      <c r="BR5" s="108">
        <f>BM5-BP5</f>
        <v>17.5</v>
      </c>
      <c r="BS5" s="108">
        <f>ROUND(BO5/11,2)</f>
        <v>230.56</v>
      </c>
      <c r="BT5" s="108">
        <f>ROUND(BP5/11,2)</f>
        <v>47.99</v>
      </c>
      <c r="BU5" s="108">
        <f>BS5-BQ5</f>
        <v>154.79000000000002</v>
      </c>
      <c r="BV5" s="108">
        <f>ROUND(BT5-BR5,2)</f>
        <v>30.49</v>
      </c>
      <c r="BW5" s="108">
        <v>95</v>
      </c>
      <c r="CA5" s="108">
        <v>2861.75</v>
      </c>
      <c r="CB5" s="108">
        <v>575.88</v>
      </c>
      <c r="CC5">
        <v>3147.93</v>
      </c>
      <c r="CD5">
        <v>662.26</v>
      </c>
      <c r="CE5" s="189">
        <v>262</v>
      </c>
      <c r="CF5" s="189">
        <v>55</v>
      </c>
      <c r="CG5" s="189">
        <f>ROUND(CA5/12*3,2)</f>
        <v>715.44</v>
      </c>
      <c r="CH5" s="189">
        <f>ROUND(CB5/12*3,2)</f>
        <v>143.97</v>
      </c>
      <c r="CI5" s="150"/>
      <c r="CJ5" s="150"/>
      <c r="CK5" s="150">
        <f>800-25</f>
        <v>775</v>
      </c>
      <c r="CL5" s="150">
        <f>300-150</f>
        <v>150</v>
      </c>
      <c r="CM5" s="150"/>
      <c r="CN5" s="150">
        <v>200</v>
      </c>
      <c r="CO5" s="150">
        <v>2872</v>
      </c>
      <c r="CP5" s="150">
        <v>660</v>
      </c>
      <c r="CQ5" s="150">
        <f>ROUND(CK5/3*12,2)</f>
        <v>3100</v>
      </c>
      <c r="CR5" s="150">
        <f>ROUND(CL5/3*12,2)</f>
        <v>600</v>
      </c>
      <c r="CS5" s="150">
        <f>IF(CO5&lt;CQ5,CO5,CQ5)</f>
        <v>2872</v>
      </c>
      <c r="CT5" s="150">
        <f>IF(CP5&lt;CR5,CP5,CR5)</f>
        <v>600</v>
      </c>
      <c r="CU5" s="150">
        <v>2872</v>
      </c>
      <c r="CV5" s="150">
        <v>660</v>
      </c>
      <c r="CW5" s="150">
        <f>ROUND(CU5*25%,2)</f>
        <v>718</v>
      </c>
      <c r="CX5" s="150">
        <f>ROUND(CV5*25%,2)</f>
        <v>165</v>
      </c>
      <c r="CY5" s="150"/>
      <c r="CZ5" s="150"/>
      <c r="DA5" s="150">
        <f>+CY5+CW5+CM5+CK5+CE5</f>
        <v>1755</v>
      </c>
      <c r="DB5" s="150">
        <f>+CZ5+CX5+CN5+CL5+CF5</f>
        <v>570</v>
      </c>
      <c r="DC5" s="150">
        <v>1676.38</v>
      </c>
      <c r="DD5" s="150">
        <v>495.23</v>
      </c>
      <c r="DE5" s="150">
        <f>+DA5-DC5</f>
        <v>78.619999999999891</v>
      </c>
      <c r="DF5" s="150">
        <f>+DB5-DD5</f>
        <v>74.769999999999982</v>
      </c>
      <c r="DG5" s="150">
        <f>ROUND(0.25*(MIN(CU5,DO5)),2)</f>
        <v>718</v>
      </c>
      <c r="DH5" s="150">
        <f>ROUND(0.25*(MIN(CV5,DP5)),2)</f>
        <v>165</v>
      </c>
      <c r="DI5" s="150">
        <f>+DG5-DE5</f>
        <v>639.38000000000011</v>
      </c>
      <c r="DJ5" s="150">
        <f>+DH5-DF5-0.23</f>
        <v>90.000000000000014</v>
      </c>
      <c r="DK5" s="104">
        <f>+DO5-DA5-DI5</f>
        <v>497.61999999999989</v>
      </c>
      <c r="DL5" s="104">
        <f>+DP5-DB5-DJ5</f>
        <v>39.999999999999986</v>
      </c>
      <c r="DM5" s="104">
        <f t="shared" ref="DM5:DM68" si="2">+CU5-DA5-DI5</f>
        <v>477.61999999999989</v>
      </c>
      <c r="DN5" s="104">
        <f t="shared" ref="DN5:DN68" si="3">+CV5-DB5-DJ5</f>
        <v>0</v>
      </c>
      <c r="DO5" s="104">
        <v>2892</v>
      </c>
      <c r="DP5" s="104">
        <v>700</v>
      </c>
      <c r="DQ5" s="104">
        <v>3120</v>
      </c>
      <c r="DR5" s="104">
        <v>450</v>
      </c>
    </row>
    <row r="6" spans="1:124" ht="18.75">
      <c r="A6" s="13">
        <v>2</v>
      </c>
      <c r="B6" s="13"/>
      <c r="C6" s="14"/>
      <c r="D6" s="15" t="s">
        <v>11</v>
      </c>
      <c r="E6" s="16"/>
      <c r="F6" s="81">
        <v>1244.5600000000002</v>
      </c>
      <c r="G6" s="81">
        <v>0</v>
      </c>
      <c r="H6" s="81">
        <v>1244.5600000000002</v>
      </c>
      <c r="I6" s="17">
        <v>0</v>
      </c>
      <c r="J6" s="86">
        <v>1590.48</v>
      </c>
      <c r="K6" s="87">
        <v>0</v>
      </c>
      <c r="L6" s="87">
        <v>0</v>
      </c>
      <c r="M6" s="87">
        <f>J6+K6+L6</f>
        <v>1590.48</v>
      </c>
      <c r="N6" s="87">
        <v>0</v>
      </c>
      <c r="O6" s="87">
        <v>0</v>
      </c>
      <c r="P6" s="87">
        <v>0</v>
      </c>
      <c r="Q6" s="87">
        <f>N6+O6+P6</f>
        <v>0</v>
      </c>
      <c r="R6" s="87">
        <f>Q6+M6</f>
        <v>1590.48</v>
      </c>
      <c r="S6" s="87">
        <v>0</v>
      </c>
      <c r="V6" s="17">
        <f>ROUND(H6*1.0583,2)</f>
        <v>1317.12</v>
      </c>
      <c r="W6" s="17">
        <f>ROUND(I6*1.0327,2)</f>
        <v>0</v>
      </c>
      <c r="X6" s="108">
        <f t="shared" ref="X6:X66" si="4">R6-V6</f>
        <v>273.36000000000013</v>
      </c>
      <c r="Y6" s="108">
        <f t="shared" ref="Y6:Y66" si="5">S6-W6</f>
        <v>0</v>
      </c>
      <c r="Z6" s="108">
        <f>AD6</f>
        <v>1317.12</v>
      </c>
      <c r="AA6" s="108"/>
      <c r="AB6" s="108">
        <f t="shared" ref="AB6:AB66" si="6">Z6+AA6</f>
        <v>1317.12</v>
      </c>
      <c r="AC6" s="109">
        <f t="shared" ref="AC6:AC66" si="7">AD6-AB6</f>
        <v>0</v>
      </c>
      <c r="AD6" s="108">
        <f>IF(X6&gt;0,V6,R6)</f>
        <v>1317.12</v>
      </c>
      <c r="AE6" s="108">
        <f>IF(Y6&gt;0,W6,S6)</f>
        <v>0</v>
      </c>
      <c r="AF6" s="108">
        <f t="shared" ref="AF6:AF66" si="8">ROUND(S6*0.9022,2)</f>
        <v>0</v>
      </c>
      <c r="AG6" s="108">
        <f t="shared" ref="AG6:AG66" si="9">ROUND(AD6/4,0)</f>
        <v>329</v>
      </c>
      <c r="AH6" s="108">
        <f>ROUND(AE6/4,0)</f>
        <v>0</v>
      </c>
      <c r="AI6" s="127">
        <f t="shared" ref="AI6:AI66" si="10">ROUND(AD6/12,0)</f>
        <v>110</v>
      </c>
      <c r="AJ6" s="108">
        <f t="shared" ref="AJ6:AJ66" si="11">ROUND(AE6/12,0)</f>
        <v>0</v>
      </c>
      <c r="AM6" s="108">
        <f t="shared" ref="AM6:AM66" si="12">ROUND(AD6*25%,2)</f>
        <v>329.28</v>
      </c>
      <c r="AN6" s="108">
        <f t="shared" ref="AN6:AN66" si="13">ROUND(AE6*24.35%,2)</f>
        <v>0</v>
      </c>
      <c r="AQ6" s="108">
        <f t="shared" ref="AQ6:AQ66" si="14">+AM6+AK6+AG6+AO6</f>
        <v>658.28</v>
      </c>
      <c r="AR6" s="108">
        <f t="shared" ref="AR6:AR66" si="15">+AN6+AL6+AH6+AP6</f>
        <v>0</v>
      </c>
      <c r="AU6" s="108">
        <f t="shared" si="0"/>
        <v>329.28</v>
      </c>
      <c r="AV6" s="108">
        <f t="shared" ref="AV6:AV28" si="16">ROUND(AE6*25%,2)</f>
        <v>0</v>
      </c>
      <c r="AY6" s="108">
        <f t="shared" ref="AY6:AY64" si="17">+AQ6+AS6+AU6+AW6+AI6</f>
        <v>1097.56</v>
      </c>
      <c r="AZ6" s="108">
        <f t="shared" ref="AZ6:AZ64" si="18">+AR6+AT6+AV6+AX6+AJ6</f>
        <v>0</v>
      </c>
      <c r="BA6" s="108">
        <f t="shared" ref="BA6:BA64" si="19">+AY6+AZ6</f>
        <v>1097.56</v>
      </c>
      <c r="BB6" s="139">
        <v>1097.56</v>
      </c>
      <c r="BD6" s="139">
        <f t="shared" ref="BD6:BD64" si="20">AY6-BB6</f>
        <v>0</v>
      </c>
      <c r="BE6" s="139">
        <f t="shared" ref="BE6:BE64" si="21">AZ6-BC6</f>
        <v>0</v>
      </c>
      <c r="BF6" s="139">
        <f t="shared" ref="BF6:BF64" si="22">ROUND(BB6/10*2,2)</f>
        <v>219.51</v>
      </c>
      <c r="BG6" s="139">
        <f t="shared" ref="BG6:BG64" si="23">ROUND(BC6/10*2,2)</f>
        <v>0</v>
      </c>
      <c r="BH6" s="108">
        <v>109.76</v>
      </c>
      <c r="BI6" s="108">
        <v>0</v>
      </c>
      <c r="BL6" s="108">
        <f t="shared" si="1"/>
        <v>1207.32</v>
      </c>
      <c r="BM6" s="108">
        <f t="shared" ref="BM6:BM69" si="24">+BI6+AZ6+BK6</f>
        <v>0</v>
      </c>
      <c r="BN6" s="108">
        <f t="shared" ref="BN6:BN69" si="25">BL6+BM6</f>
        <v>1207.32</v>
      </c>
      <c r="BO6" s="108">
        <v>1097.56</v>
      </c>
      <c r="BP6" s="127"/>
      <c r="BQ6" s="108">
        <f t="shared" ref="BQ6:BQ69" si="26">BL6-BO6</f>
        <v>109.75999999999999</v>
      </c>
      <c r="BR6" s="108">
        <f t="shared" ref="BR6:BR69" si="27">BM6-BP6</f>
        <v>0</v>
      </c>
      <c r="BS6" s="108">
        <f t="shared" ref="BS6:BS69" si="28">ROUND(BO6/11,2)</f>
        <v>99.78</v>
      </c>
      <c r="BT6" s="108">
        <f t="shared" ref="BT6:BT69" si="29">ROUND(BP6/11,2)</f>
        <v>0</v>
      </c>
      <c r="BU6" s="108">
        <v>0</v>
      </c>
      <c r="BV6" s="108">
        <f t="shared" ref="BV6:BV12" si="30">ROUND(BT6-BR6,2)</f>
        <v>0</v>
      </c>
      <c r="CA6" s="108">
        <v>1207.32</v>
      </c>
      <c r="CB6" s="108">
        <v>0</v>
      </c>
      <c r="CC6">
        <v>1328.05</v>
      </c>
      <c r="CD6">
        <v>0</v>
      </c>
      <c r="CE6" s="189">
        <v>111</v>
      </c>
      <c r="CF6" s="189">
        <v>0</v>
      </c>
      <c r="CG6" s="189">
        <f t="shared" ref="CG6:CG69" si="31">ROUND(CA6/12*3,2)</f>
        <v>301.83</v>
      </c>
      <c r="CH6" s="189">
        <f t="shared" ref="CH6:CH69" si="32">ROUND(CB6/12*3,2)</f>
        <v>0</v>
      </c>
      <c r="CI6" s="150"/>
      <c r="CJ6" s="150"/>
      <c r="CK6" s="150">
        <v>330</v>
      </c>
      <c r="CL6" s="150">
        <v>0</v>
      </c>
      <c r="CM6" s="150"/>
      <c r="CN6" s="150"/>
      <c r="CO6" s="150">
        <v>1306.17</v>
      </c>
      <c r="CP6" s="150"/>
      <c r="CQ6" s="150">
        <f t="shared" ref="CQ6:CQ69" si="33">ROUND(CK6/3*12,2)</f>
        <v>1320</v>
      </c>
      <c r="CR6" s="150">
        <f t="shared" ref="CR6:CR69" si="34">ROUND(CL6/3*12,2)</f>
        <v>0</v>
      </c>
      <c r="CS6" s="150">
        <f t="shared" ref="CS6:CU69" si="35">IF(CO6&lt;CQ6,CO6,CQ6)</f>
        <v>1306.17</v>
      </c>
      <c r="CT6" s="150">
        <f t="shared" ref="CT6:CT69" si="36">IF(CP6&lt;CR6,CP6,CR6)</f>
        <v>0</v>
      </c>
      <c r="CU6" s="150">
        <v>1306.17</v>
      </c>
      <c r="CV6" s="150">
        <v>0</v>
      </c>
      <c r="CW6" s="150">
        <f t="shared" ref="CW6:CW67" si="37">ROUND(CU6*25%,2)</f>
        <v>326.54000000000002</v>
      </c>
      <c r="CX6" s="150">
        <f t="shared" ref="CX6:CX67" si="38">ROUND(CV6*25%,2)</f>
        <v>0</v>
      </c>
      <c r="CY6" s="150"/>
      <c r="CZ6" s="150"/>
      <c r="DA6" s="150">
        <f t="shared" ref="DA6:DA69" si="39">+CY6+CW6+CM6+CK6+CE6</f>
        <v>767.54</v>
      </c>
      <c r="DB6" s="150">
        <f t="shared" ref="DB6:DB69" si="40">+CZ6+CX6+CN6+CL6+CF6</f>
        <v>0</v>
      </c>
      <c r="DC6" s="150">
        <v>767.54</v>
      </c>
      <c r="DD6" s="150">
        <v>0</v>
      </c>
      <c r="DE6" s="150">
        <f t="shared" ref="DE6:DE69" si="41">+DA6-DC6</f>
        <v>0</v>
      </c>
      <c r="DF6" s="150">
        <f t="shared" ref="DF6:DF69" si="42">+DB6-DD6</f>
        <v>0</v>
      </c>
      <c r="DG6" s="150">
        <f>ROUND(0.25*(MIN(CU6,DO6)),2)</f>
        <v>326.54000000000002</v>
      </c>
      <c r="DH6" s="150">
        <f>ROUND(0.25*(MIN(CV6,DP6)),2)</f>
        <v>0</v>
      </c>
      <c r="DI6" s="150">
        <f>+DG6-DE6</f>
        <v>326.54000000000002</v>
      </c>
      <c r="DJ6" s="150">
        <f>+DH6-DF6</f>
        <v>0</v>
      </c>
      <c r="DK6" s="104">
        <f>+DO6-DA6-DI6</f>
        <v>212.09000000000009</v>
      </c>
      <c r="DL6" s="104">
        <f>+DP6-DB6-DJ6</f>
        <v>0</v>
      </c>
      <c r="DM6" s="104">
        <f t="shared" si="2"/>
        <v>212.09000000000009</v>
      </c>
      <c r="DN6" s="104">
        <f t="shared" si="3"/>
        <v>0</v>
      </c>
      <c r="DO6" s="104">
        <v>1306.17</v>
      </c>
      <c r="DP6" s="104">
        <v>0</v>
      </c>
      <c r="DQ6" s="104">
        <v>1492.49</v>
      </c>
      <c r="DR6" s="104">
        <v>0</v>
      </c>
    </row>
    <row r="7" spans="1:124" ht="18.75">
      <c r="A7" s="18"/>
      <c r="B7" s="18" t="s">
        <v>12</v>
      </c>
      <c r="C7" s="19" t="s">
        <v>13</v>
      </c>
      <c r="D7" s="20" t="s">
        <v>10</v>
      </c>
      <c r="E7" s="21" t="s">
        <v>14</v>
      </c>
      <c r="F7" s="22">
        <v>4071.78</v>
      </c>
      <c r="G7" s="22">
        <v>545.40000000000009</v>
      </c>
      <c r="H7" s="22">
        <v>4071.7799999999997</v>
      </c>
      <c r="I7" s="22">
        <v>670</v>
      </c>
      <c r="J7" s="88">
        <f t="shared" ref="J7:AB7" si="43">+J5+J6</f>
        <v>4690.4799999999996</v>
      </c>
      <c r="K7" s="88">
        <f t="shared" si="43"/>
        <v>225</v>
      </c>
      <c r="L7" s="88">
        <f t="shared" si="43"/>
        <v>0</v>
      </c>
      <c r="M7" s="88">
        <f t="shared" si="43"/>
        <v>4915.4799999999996</v>
      </c>
      <c r="N7" s="88">
        <f t="shared" si="43"/>
        <v>0</v>
      </c>
      <c r="O7" s="88">
        <f t="shared" si="43"/>
        <v>0</v>
      </c>
      <c r="P7" s="88">
        <f t="shared" si="43"/>
        <v>0</v>
      </c>
      <c r="Q7" s="88">
        <f t="shared" si="43"/>
        <v>0</v>
      </c>
      <c r="R7" s="88">
        <f t="shared" si="43"/>
        <v>4915.4799999999996</v>
      </c>
      <c r="S7" s="88">
        <f t="shared" si="43"/>
        <v>600</v>
      </c>
      <c r="T7" s="88">
        <f t="shared" si="43"/>
        <v>0</v>
      </c>
      <c r="U7" s="88">
        <f t="shared" si="43"/>
        <v>0</v>
      </c>
      <c r="V7" s="88">
        <f t="shared" si="43"/>
        <v>4309.17</v>
      </c>
      <c r="W7" s="88">
        <f t="shared" si="43"/>
        <v>691.91</v>
      </c>
      <c r="X7" s="88">
        <f t="shared" si="43"/>
        <v>606.30999999999995</v>
      </c>
      <c r="Y7" s="88">
        <f t="shared" si="43"/>
        <v>-91.909999999999968</v>
      </c>
      <c r="Z7" s="88">
        <f t="shared" si="43"/>
        <v>4309.17</v>
      </c>
      <c r="AA7" s="88">
        <f t="shared" si="43"/>
        <v>0</v>
      </c>
      <c r="AB7" s="88">
        <f t="shared" si="43"/>
        <v>4309.17</v>
      </c>
      <c r="AC7" s="109">
        <f t="shared" si="7"/>
        <v>0</v>
      </c>
      <c r="AD7" s="22">
        <f t="shared" ref="AD7:CQ7" si="44">+AD5+AD6</f>
        <v>4309.17</v>
      </c>
      <c r="AE7" s="22">
        <f t="shared" si="44"/>
        <v>600</v>
      </c>
      <c r="AF7" s="22">
        <f t="shared" si="44"/>
        <v>541.32000000000005</v>
      </c>
      <c r="AG7" s="22">
        <f t="shared" si="44"/>
        <v>1077</v>
      </c>
      <c r="AH7" s="22">
        <f t="shared" si="44"/>
        <v>150</v>
      </c>
      <c r="AI7" s="118">
        <f t="shared" si="44"/>
        <v>359</v>
      </c>
      <c r="AJ7" s="22">
        <f t="shared" si="44"/>
        <v>50</v>
      </c>
      <c r="AK7" s="22">
        <f t="shared" si="44"/>
        <v>0</v>
      </c>
      <c r="AL7" s="22">
        <f t="shared" si="44"/>
        <v>0</v>
      </c>
      <c r="AM7" s="22">
        <f t="shared" si="44"/>
        <v>1077.29</v>
      </c>
      <c r="AN7" s="22">
        <f t="shared" si="44"/>
        <v>146.1</v>
      </c>
      <c r="AO7" s="22">
        <f t="shared" si="44"/>
        <v>0</v>
      </c>
      <c r="AP7" s="22">
        <f t="shared" si="44"/>
        <v>0</v>
      </c>
      <c r="AQ7" s="22">
        <f t="shared" si="44"/>
        <v>2154.29</v>
      </c>
      <c r="AR7" s="22">
        <f t="shared" si="44"/>
        <v>296.10000000000002</v>
      </c>
      <c r="AS7" s="22">
        <f t="shared" si="44"/>
        <v>0</v>
      </c>
      <c r="AT7" s="22">
        <f t="shared" si="44"/>
        <v>0</v>
      </c>
      <c r="AU7" s="22">
        <f t="shared" si="44"/>
        <v>1077.29</v>
      </c>
      <c r="AV7" s="22">
        <f t="shared" si="44"/>
        <v>150</v>
      </c>
      <c r="AW7" s="22">
        <f t="shared" si="44"/>
        <v>0</v>
      </c>
      <c r="AX7" s="22">
        <f t="shared" si="44"/>
        <v>0</v>
      </c>
      <c r="AY7" s="22">
        <f t="shared" si="44"/>
        <v>3590.58</v>
      </c>
      <c r="AZ7" s="22">
        <f t="shared" si="44"/>
        <v>496.1</v>
      </c>
      <c r="BA7" s="22">
        <f t="shared" si="44"/>
        <v>4086.68</v>
      </c>
      <c r="BB7" s="22">
        <f t="shared" si="44"/>
        <v>3373.2999999999997</v>
      </c>
      <c r="BC7" s="22">
        <f t="shared" si="44"/>
        <v>495.56</v>
      </c>
      <c r="BD7" s="22">
        <f t="shared" si="44"/>
        <v>217.2800000000002</v>
      </c>
      <c r="BE7" s="22">
        <f t="shared" si="44"/>
        <v>0.54000000000002046</v>
      </c>
      <c r="BF7" s="22">
        <f t="shared" si="44"/>
        <v>674.66</v>
      </c>
      <c r="BG7" s="118">
        <f t="shared" si="44"/>
        <v>99.11</v>
      </c>
      <c r="BH7" s="118">
        <f t="shared" si="44"/>
        <v>228.7</v>
      </c>
      <c r="BI7" s="118">
        <f t="shared" si="44"/>
        <v>49.29</v>
      </c>
      <c r="BJ7" s="118">
        <f t="shared" si="44"/>
        <v>0</v>
      </c>
      <c r="BK7" s="118">
        <f t="shared" si="44"/>
        <v>0</v>
      </c>
      <c r="BL7" s="118">
        <f t="shared" si="44"/>
        <v>3819.2799999999997</v>
      </c>
      <c r="BM7" s="118">
        <f t="shared" si="44"/>
        <v>545.39</v>
      </c>
      <c r="BN7" s="118">
        <f t="shared" si="44"/>
        <v>4364.67</v>
      </c>
      <c r="BO7" s="118">
        <f t="shared" si="44"/>
        <v>3633.75</v>
      </c>
      <c r="BP7" s="118">
        <f t="shared" si="44"/>
        <v>527.89</v>
      </c>
      <c r="BQ7" s="22">
        <f t="shared" si="44"/>
        <v>185.52999999999997</v>
      </c>
      <c r="BR7" s="22">
        <f t="shared" si="44"/>
        <v>17.5</v>
      </c>
      <c r="BS7" s="22">
        <f t="shared" si="44"/>
        <v>330.34000000000003</v>
      </c>
      <c r="BT7" s="22">
        <f t="shared" si="44"/>
        <v>47.99</v>
      </c>
      <c r="BU7" s="22">
        <f t="shared" si="44"/>
        <v>154.79000000000002</v>
      </c>
      <c r="BV7" s="22">
        <f t="shared" si="44"/>
        <v>30.49</v>
      </c>
      <c r="BW7" s="22">
        <f t="shared" si="44"/>
        <v>95</v>
      </c>
      <c r="BX7" s="22">
        <f t="shared" si="44"/>
        <v>0</v>
      </c>
      <c r="BY7" s="22">
        <f t="shared" si="44"/>
        <v>0</v>
      </c>
      <c r="BZ7" s="22">
        <f t="shared" si="44"/>
        <v>0</v>
      </c>
      <c r="CA7" s="22">
        <f t="shared" si="44"/>
        <v>4069.0699999999997</v>
      </c>
      <c r="CB7" s="22">
        <f t="shared" si="44"/>
        <v>575.88</v>
      </c>
      <c r="CC7" s="22">
        <f t="shared" si="44"/>
        <v>4475.9799999999996</v>
      </c>
      <c r="CD7" s="118">
        <f t="shared" si="44"/>
        <v>662.26</v>
      </c>
      <c r="CE7" s="190">
        <f t="shared" si="44"/>
        <v>373</v>
      </c>
      <c r="CF7" s="190">
        <f t="shared" si="44"/>
        <v>55</v>
      </c>
      <c r="CG7" s="190">
        <f t="shared" si="44"/>
        <v>1017.27</v>
      </c>
      <c r="CH7" s="190">
        <f t="shared" si="44"/>
        <v>143.97</v>
      </c>
      <c r="CI7" s="190">
        <f t="shared" si="44"/>
        <v>0</v>
      </c>
      <c r="CJ7" s="190">
        <f t="shared" si="44"/>
        <v>0</v>
      </c>
      <c r="CK7" s="190">
        <f t="shared" si="44"/>
        <v>1105</v>
      </c>
      <c r="CL7" s="190">
        <f t="shared" si="44"/>
        <v>150</v>
      </c>
      <c r="CM7" s="190">
        <f t="shared" si="44"/>
        <v>0</v>
      </c>
      <c r="CN7" s="190">
        <f t="shared" si="44"/>
        <v>200</v>
      </c>
      <c r="CO7" s="190">
        <f t="shared" si="44"/>
        <v>4178.17</v>
      </c>
      <c r="CP7" s="190">
        <f t="shared" si="44"/>
        <v>660</v>
      </c>
      <c r="CQ7" s="190">
        <f t="shared" si="44"/>
        <v>4420</v>
      </c>
      <c r="CR7" s="190">
        <f t="shared" ref="CR7:DO7" si="45">+CR5+CR6</f>
        <v>600</v>
      </c>
      <c r="CS7" s="190">
        <f t="shared" si="45"/>
        <v>4178.17</v>
      </c>
      <c r="CT7" s="190">
        <f t="shared" si="45"/>
        <v>600</v>
      </c>
      <c r="CU7" s="190">
        <f t="shared" si="45"/>
        <v>4178.17</v>
      </c>
      <c r="CV7" s="190">
        <f t="shared" si="45"/>
        <v>660</v>
      </c>
      <c r="CW7" s="190">
        <f t="shared" si="45"/>
        <v>1044.54</v>
      </c>
      <c r="CX7" s="190">
        <f t="shared" si="45"/>
        <v>165</v>
      </c>
      <c r="CY7" s="190">
        <f t="shared" si="45"/>
        <v>0</v>
      </c>
      <c r="CZ7" s="190">
        <f t="shared" si="45"/>
        <v>0</v>
      </c>
      <c r="DA7" s="190">
        <f t="shared" si="45"/>
        <v>2522.54</v>
      </c>
      <c r="DB7" s="190">
        <f t="shared" si="45"/>
        <v>570</v>
      </c>
      <c r="DC7" s="190">
        <f t="shared" si="45"/>
        <v>2443.92</v>
      </c>
      <c r="DD7" s="190">
        <f t="shared" si="45"/>
        <v>495.23</v>
      </c>
      <c r="DE7" s="190">
        <f t="shared" si="45"/>
        <v>78.619999999999891</v>
      </c>
      <c r="DF7" s="190">
        <f t="shared" si="45"/>
        <v>74.769999999999982</v>
      </c>
      <c r="DG7" s="190">
        <f t="shared" si="45"/>
        <v>1044.54</v>
      </c>
      <c r="DH7" s="190">
        <f t="shared" si="45"/>
        <v>165</v>
      </c>
      <c r="DI7" s="190">
        <f t="shared" si="45"/>
        <v>965.92000000000007</v>
      </c>
      <c r="DJ7" s="190">
        <f t="shared" si="45"/>
        <v>90.000000000000014</v>
      </c>
      <c r="DK7" s="186">
        <f t="shared" si="45"/>
        <v>709.71</v>
      </c>
      <c r="DL7" s="22">
        <f t="shared" si="45"/>
        <v>39.999999999999986</v>
      </c>
      <c r="DM7" s="104">
        <f t="shared" si="2"/>
        <v>689.71</v>
      </c>
      <c r="DN7" s="104">
        <f t="shared" si="3"/>
        <v>0</v>
      </c>
      <c r="DO7" s="22">
        <f t="shared" si="45"/>
        <v>4198.17</v>
      </c>
      <c r="DP7" s="22">
        <v>495.23</v>
      </c>
      <c r="DQ7" s="22">
        <v>495.23</v>
      </c>
      <c r="DR7" s="22">
        <v>495.23</v>
      </c>
      <c r="DS7" s="22">
        <v>495.23</v>
      </c>
      <c r="DT7" s="22">
        <v>495.23</v>
      </c>
    </row>
    <row r="8" spans="1:124" ht="18.75">
      <c r="A8" s="13">
        <v>3</v>
      </c>
      <c r="B8" s="13"/>
      <c r="C8" s="14"/>
      <c r="D8" s="15" t="s">
        <v>15</v>
      </c>
      <c r="E8" s="16"/>
      <c r="F8" s="81">
        <v>2125</v>
      </c>
      <c r="G8" s="81">
        <v>413.40000000000009</v>
      </c>
      <c r="H8" s="81">
        <v>2125</v>
      </c>
      <c r="I8" s="17">
        <v>470.00000000000011</v>
      </c>
      <c r="J8" s="86">
        <v>2530</v>
      </c>
      <c r="K8" s="87">
        <v>13</v>
      </c>
      <c r="L8" s="87">
        <v>0.18</v>
      </c>
      <c r="M8" s="87">
        <f>J8+K8+L8</f>
        <v>2543.1799999999998</v>
      </c>
      <c r="N8" s="87">
        <v>0</v>
      </c>
      <c r="O8" s="87">
        <v>0</v>
      </c>
      <c r="P8" s="87">
        <v>0</v>
      </c>
      <c r="Q8" s="87">
        <f>N8+O8+P8</f>
        <v>0</v>
      </c>
      <c r="R8" s="87">
        <f>Q8+M8</f>
        <v>2543.1799999999998</v>
      </c>
      <c r="S8" s="87">
        <v>350</v>
      </c>
      <c r="V8" s="17">
        <f>ROUND(H8*1.0583,2)</f>
        <v>2248.89</v>
      </c>
      <c r="W8" s="17">
        <f>ROUND(I8*1.0327,2)</f>
        <v>485.37</v>
      </c>
      <c r="X8" s="108">
        <f t="shared" si="4"/>
        <v>294.28999999999996</v>
      </c>
      <c r="Y8" s="109">
        <f t="shared" si="5"/>
        <v>-135.37</v>
      </c>
      <c r="Z8" s="116">
        <f>AD8</f>
        <v>2248.89</v>
      </c>
      <c r="AA8" s="116"/>
      <c r="AB8" s="116">
        <f t="shared" si="6"/>
        <v>2248.89</v>
      </c>
      <c r="AC8" s="109">
        <f t="shared" si="7"/>
        <v>0</v>
      </c>
      <c r="AD8" s="108">
        <f>IF(X8&gt;0,V8,R8)</f>
        <v>2248.89</v>
      </c>
      <c r="AE8" s="108">
        <f>IF(Y8&gt;0,W8,S8)</f>
        <v>350</v>
      </c>
      <c r="AF8" s="108">
        <f t="shared" si="8"/>
        <v>315.77</v>
      </c>
      <c r="AG8" s="108">
        <f t="shared" si="9"/>
        <v>562</v>
      </c>
      <c r="AH8" s="108">
        <f t="shared" ref="AH8:AH66" si="46">ROUND(AE8/4,0)</f>
        <v>88</v>
      </c>
      <c r="AI8" s="127">
        <f t="shared" si="10"/>
        <v>187</v>
      </c>
      <c r="AJ8" s="108">
        <f t="shared" si="11"/>
        <v>29</v>
      </c>
      <c r="AM8" s="108">
        <f t="shared" si="12"/>
        <v>562.22</v>
      </c>
      <c r="AN8" s="108">
        <f t="shared" si="13"/>
        <v>85.23</v>
      </c>
      <c r="AQ8" s="108">
        <f t="shared" si="14"/>
        <v>1124.22</v>
      </c>
      <c r="AR8" s="108">
        <f t="shared" si="15"/>
        <v>173.23000000000002</v>
      </c>
      <c r="AU8" s="108">
        <f t="shared" si="0"/>
        <v>562.22</v>
      </c>
      <c r="AV8" s="108">
        <f t="shared" si="16"/>
        <v>87.5</v>
      </c>
      <c r="AY8" s="108">
        <f t="shared" si="17"/>
        <v>1873.44</v>
      </c>
      <c r="AZ8" s="108">
        <f t="shared" si="18"/>
        <v>289.73</v>
      </c>
      <c r="BA8" s="108">
        <f t="shared" si="19"/>
        <v>2163.17</v>
      </c>
      <c r="BB8" s="139">
        <v>1826.67</v>
      </c>
      <c r="BC8" s="139">
        <v>183.63</v>
      </c>
      <c r="BD8" s="139">
        <f t="shared" si="20"/>
        <v>46.769999999999982</v>
      </c>
      <c r="BE8" s="139">
        <f t="shared" si="21"/>
        <v>106.10000000000002</v>
      </c>
      <c r="BF8" s="139">
        <f t="shared" si="22"/>
        <v>365.33</v>
      </c>
      <c r="BG8" s="139">
        <f t="shared" si="23"/>
        <v>36.729999999999997</v>
      </c>
      <c r="BH8" s="108">
        <v>159.28</v>
      </c>
      <c r="BI8" s="108">
        <v>0</v>
      </c>
      <c r="BL8" s="108">
        <f t="shared" si="1"/>
        <v>2032.72</v>
      </c>
      <c r="BM8" s="108">
        <f t="shared" si="24"/>
        <v>289.73</v>
      </c>
      <c r="BN8" s="108">
        <f t="shared" si="25"/>
        <v>2322.4499999999998</v>
      </c>
      <c r="BO8" s="167">
        <v>2008.67</v>
      </c>
      <c r="BP8" s="168">
        <v>263.04000000000002</v>
      </c>
      <c r="BQ8" s="108">
        <f t="shared" si="26"/>
        <v>24.049999999999955</v>
      </c>
      <c r="BR8" s="108">
        <f t="shared" si="27"/>
        <v>26.689999999999998</v>
      </c>
      <c r="BS8" s="108">
        <f t="shared" si="28"/>
        <v>182.61</v>
      </c>
      <c r="BT8" s="108">
        <f t="shared" si="29"/>
        <v>23.91</v>
      </c>
      <c r="BU8" s="108">
        <f t="shared" ref="BU8:BU67" si="47">BS8-BQ8</f>
        <v>158.56000000000006</v>
      </c>
      <c r="BV8" s="108">
        <v>0</v>
      </c>
      <c r="BW8" s="109">
        <v>58.72</v>
      </c>
      <c r="BX8" s="108">
        <f>80+0.27</f>
        <v>80.27</v>
      </c>
      <c r="CA8" s="108">
        <v>2250</v>
      </c>
      <c r="CB8" s="108">
        <v>370</v>
      </c>
      <c r="CC8">
        <v>2475</v>
      </c>
      <c r="CD8">
        <v>425.5</v>
      </c>
      <c r="CE8" s="189">
        <v>206</v>
      </c>
      <c r="CF8" s="189">
        <v>35</v>
      </c>
      <c r="CG8" s="189">
        <f t="shared" si="31"/>
        <v>562.5</v>
      </c>
      <c r="CH8" s="189">
        <f t="shared" si="32"/>
        <v>92.5</v>
      </c>
      <c r="CI8" s="150"/>
      <c r="CJ8" s="150"/>
      <c r="CK8" s="150">
        <f>725-65</f>
        <v>660</v>
      </c>
      <c r="CL8" s="150">
        <v>45</v>
      </c>
      <c r="CM8" s="150"/>
      <c r="CN8" s="150"/>
      <c r="CO8" s="150">
        <v>2407.1999999999998</v>
      </c>
      <c r="CP8" s="150">
        <v>325</v>
      </c>
      <c r="CQ8" s="150">
        <f t="shared" si="33"/>
        <v>2640</v>
      </c>
      <c r="CR8" s="150">
        <f t="shared" si="34"/>
        <v>180</v>
      </c>
      <c r="CS8" s="150">
        <f t="shared" si="35"/>
        <v>2407.1999999999998</v>
      </c>
      <c r="CT8" s="150">
        <f t="shared" si="36"/>
        <v>180</v>
      </c>
      <c r="CU8" s="150">
        <v>2407.1999999999998</v>
      </c>
      <c r="CV8" s="150">
        <v>350</v>
      </c>
      <c r="CW8" s="150">
        <f t="shared" si="37"/>
        <v>601.79999999999995</v>
      </c>
      <c r="CX8" s="150">
        <f>ROUND(CV8*25%,2)-10</f>
        <v>77.5</v>
      </c>
      <c r="CY8" s="150"/>
      <c r="CZ8" s="150"/>
      <c r="DA8" s="150">
        <f t="shared" si="39"/>
        <v>1467.8</v>
      </c>
      <c r="DB8" s="150">
        <f t="shared" si="40"/>
        <v>157.5</v>
      </c>
      <c r="DC8" s="150">
        <v>1352.84</v>
      </c>
      <c r="DD8" s="150">
        <v>58.18</v>
      </c>
      <c r="DE8" s="150">
        <f t="shared" si="41"/>
        <v>114.96000000000004</v>
      </c>
      <c r="DF8" s="150">
        <f t="shared" si="42"/>
        <v>99.32</v>
      </c>
      <c r="DG8" s="150">
        <f>ROUND(0.25*(MIN(CU8,DO8)),2)</f>
        <v>601.79999999999995</v>
      </c>
      <c r="DH8" s="150">
        <f>ROUND(0.25*(MIN(CV8,DP8)),2)</f>
        <v>87.5</v>
      </c>
      <c r="DI8" s="150">
        <f>+DG8-DE8</f>
        <v>486.83999999999992</v>
      </c>
      <c r="DJ8" s="150">
        <f>+DH8-DF8+11.82</f>
        <v>0</v>
      </c>
      <c r="DK8" s="104">
        <f>+DO8-DA8-DI8</f>
        <v>461.51000000000022</v>
      </c>
      <c r="DL8" s="104">
        <f>+DP8-DB8-DJ8</f>
        <v>197.5</v>
      </c>
      <c r="DM8" s="104">
        <f t="shared" si="2"/>
        <v>452.55999999999995</v>
      </c>
      <c r="DN8" s="104">
        <f t="shared" si="3"/>
        <v>192.5</v>
      </c>
      <c r="DO8" s="104">
        <v>2416.15</v>
      </c>
      <c r="DP8" s="104">
        <v>355</v>
      </c>
      <c r="DQ8" s="104">
        <v>2501</v>
      </c>
      <c r="DR8" s="104">
        <v>375</v>
      </c>
    </row>
    <row r="9" spans="1:124" ht="18.75">
      <c r="A9" s="13">
        <v>4</v>
      </c>
      <c r="B9" s="13"/>
      <c r="C9" s="14"/>
      <c r="D9" s="161" t="s">
        <v>16</v>
      </c>
      <c r="E9" s="16"/>
      <c r="F9" s="81">
        <v>284.39000000000004</v>
      </c>
      <c r="G9" s="81">
        <v>0</v>
      </c>
      <c r="H9" s="81">
        <v>303.47000000000003</v>
      </c>
      <c r="I9" s="17">
        <v>0</v>
      </c>
      <c r="J9" s="86">
        <v>279</v>
      </c>
      <c r="K9" s="87">
        <v>0</v>
      </c>
      <c r="L9" s="87">
        <v>0</v>
      </c>
      <c r="M9" s="87">
        <f>J9+K9+L9</f>
        <v>279</v>
      </c>
      <c r="N9" s="87">
        <v>54.75</v>
      </c>
      <c r="O9" s="87">
        <v>0</v>
      </c>
      <c r="P9" s="87">
        <v>0</v>
      </c>
      <c r="Q9" s="87">
        <f>N9+O9+P9</f>
        <v>54.75</v>
      </c>
      <c r="R9" s="87">
        <f>Q9+M9</f>
        <v>333.75</v>
      </c>
      <c r="S9" s="87">
        <v>0</v>
      </c>
      <c r="V9" s="17">
        <f>ROUND(H9*1.0583,2)</f>
        <v>321.16000000000003</v>
      </c>
      <c r="W9" s="17">
        <f>ROUND(I9*1.0327,2)</f>
        <v>0</v>
      </c>
      <c r="X9" s="108">
        <f t="shared" si="4"/>
        <v>12.589999999999975</v>
      </c>
      <c r="Y9" s="108">
        <f t="shared" si="5"/>
        <v>0</v>
      </c>
      <c r="Z9" s="116">
        <v>270</v>
      </c>
      <c r="AA9" s="116">
        <v>51.16</v>
      </c>
      <c r="AB9" s="116">
        <f t="shared" si="6"/>
        <v>321.15999999999997</v>
      </c>
      <c r="AC9" s="109">
        <f t="shared" si="7"/>
        <v>0</v>
      </c>
      <c r="AD9" s="108">
        <f>IF(X9&gt;0,V9,R9)</f>
        <v>321.16000000000003</v>
      </c>
      <c r="AE9" s="108">
        <f>IF(Y9&gt;0,W9,S9)</f>
        <v>0</v>
      </c>
      <c r="AF9" s="108">
        <f t="shared" si="8"/>
        <v>0</v>
      </c>
      <c r="AG9" s="108">
        <f t="shared" si="9"/>
        <v>80</v>
      </c>
      <c r="AH9" s="108">
        <f t="shared" si="46"/>
        <v>0</v>
      </c>
      <c r="AI9" s="127">
        <f t="shared" si="10"/>
        <v>27</v>
      </c>
      <c r="AJ9" s="108">
        <f t="shared" si="11"/>
        <v>0</v>
      </c>
      <c r="AM9" s="108">
        <f t="shared" si="12"/>
        <v>80.290000000000006</v>
      </c>
      <c r="AN9" s="108">
        <f t="shared" si="13"/>
        <v>0</v>
      </c>
      <c r="AQ9" s="108">
        <f t="shared" si="14"/>
        <v>160.29000000000002</v>
      </c>
      <c r="AR9" s="108">
        <f t="shared" si="15"/>
        <v>0</v>
      </c>
      <c r="AU9" s="108">
        <f t="shared" si="0"/>
        <v>80.290000000000006</v>
      </c>
      <c r="AV9" s="108">
        <f t="shared" si="16"/>
        <v>0</v>
      </c>
      <c r="AY9" s="108">
        <f t="shared" si="17"/>
        <v>267.58000000000004</v>
      </c>
      <c r="AZ9" s="108">
        <f t="shared" si="18"/>
        <v>0</v>
      </c>
      <c r="BA9" s="108">
        <f t="shared" si="19"/>
        <v>267.58000000000004</v>
      </c>
      <c r="BB9" s="139">
        <v>267.58</v>
      </c>
      <c r="BD9" s="139">
        <f t="shared" si="20"/>
        <v>0</v>
      </c>
      <c r="BE9" s="139">
        <f t="shared" si="21"/>
        <v>0</v>
      </c>
      <c r="BF9" s="139">
        <f t="shared" si="22"/>
        <v>53.52</v>
      </c>
      <c r="BG9" s="139">
        <f t="shared" si="23"/>
        <v>0</v>
      </c>
      <c r="BH9" s="108">
        <v>26.76</v>
      </c>
      <c r="BI9" s="108">
        <v>0</v>
      </c>
      <c r="BL9" s="108">
        <f t="shared" si="1"/>
        <v>294.34000000000003</v>
      </c>
      <c r="BM9" s="108">
        <f t="shared" si="24"/>
        <v>0</v>
      </c>
      <c r="BN9" s="108">
        <f t="shared" si="25"/>
        <v>294.34000000000003</v>
      </c>
      <c r="BO9" s="167">
        <f>273.64+20.8</f>
        <v>294.44</v>
      </c>
      <c r="BP9" s="169"/>
      <c r="BQ9" s="108">
        <f t="shared" si="26"/>
        <v>-9.9999999999965894E-2</v>
      </c>
      <c r="BR9" s="108">
        <f t="shared" si="27"/>
        <v>0</v>
      </c>
      <c r="BS9" s="108">
        <f t="shared" si="28"/>
        <v>26.77</v>
      </c>
      <c r="BT9" s="108">
        <f t="shared" si="29"/>
        <v>0</v>
      </c>
      <c r="BU9" s="108">
        <f t="shared" si="47"/>
        <v>26.869999999999965</v>
      </c>
      <c r="BV9" s="108">
        <f t="shared" si="30"/>
        <v>0</v>
      </c>
      <c r="BW9" s="109">
        <v>68.790000000000006</v>
      </c>
      <c r="CA9" s="108">
        <v>390</v>
      </c>
      <c r="CB9" s="108">
        <v>0</v>
      </c>
      <c r="CC9">
        <v>429</v>
      </c>
      <c r="CD9">
        <v>0</v>
      </c>
      <c r="CE9" s="189">
        <v>36</v>
      </c>
      <c r="CF9" s="189">
        <v>0</v>
      </c>
      <c r="CG9" s="189">
        <f t="shared" si="31"/>
        <v>97.5</v>
      </c>
      <c r="CH9" s="189">
        <f t="shared" si="32"/>
        <v>0</v>
      </c>
      <c r="CI9" s="150"/>
      <c r="CJ9" s="150"/>
      <c r="CK9" s="150">
        <v>105</v>
      </c>
      <c r="CL9" s="150">
        <v>0</v>
      </c>
      <c r="CM9" s="150"/>
      <c r="CN9" s="150"/>
      <c r="CO9" s="150">
        <v>591.87</v>
      </c>
      <c r="CP9" s="150"/>
      <c r="CQ9" s="150">
        <f t="shared" si="33"/>
        <v>420</v>
      </c>
      <c r="CR9" s="150">
        <f t="shared" si="34"/>
        <v>0</v>
      </c>
      <c r="CS9" s="150">
        <f t="shared" si="35"/>
        <v>420</v>
      </c>
      <c r="CT9" s="150">
        <f t="shared" si="36"/>
        <v>0</v>
      </c>
      <c r="CU9" s="150">
        <v>420</v>
      </c>
      <c r="CV9" s="150">
        <v>0</v>
      </c>
      <c r="CW9" s="150">
        <f t="shared" si="37"/>
        <v>105</v>
      </c>
      <c r="CX9" s="150">
        <f t="shared" si="38"/>
        <v>0</v>
      </c>
      <c r="CY9" s="150"/>
      <c r="CZ9" s="150"/>
      <c r="DA9" s="150">
        <f t="shared" si="39"/>
        <v>246</v>
      </c>
      <c r="DB9" s="150">
        <f t="shared" si="40"/>
        <v>0</v>
      </c>
      <c r="DC9" s="150">
        <v>197.9</v>
      </c>
      <c r="DD9" s="150">
        <v>0</v>
      </c>
      <c r="DE9" s="150">
        <f t="shared" si="41"/>
        <v>48.099999999999994</v>
      </c>
      <c r="DF9" s="150">
        <f t="shared" si="42"/>
        <v>0</v>
      </c>
      <c r="DG9" s="150">
        <f>ROUND(0.25*(MIN(CU9,DO9)),2)</f>
        <v>105</v>
      </c>
      <c r="DH9" s="150">
        <f>ROUND(0.25*(MIN(CV9,DP9)),2)</f>
        <v>0</v>
      </c>
      <c r="DI9" s="150">
        <f>+DG9-DE9</f>
        <v>56.900000000000006</v>
      </c>
      <c r="DJ9" s="150">
        <f>+DH9-DF9</f>
        <v>0</v>
      </c>
      <c r="DK9" s="104">
        <f>+DO9-DA9-DI9</f>
        <v>117.1</v>
      </c>
      <c r="DL9" s="104">
        <f>+DP9-DB9-DJ9</f>
        <v>0</v>
      </c>
      <c r="DM9" s="104">
        <f t="shared" si="2"/>
        <v>117.1</v>
      </c>
      <c r="DN9" s="104">
        <f t="shared" si="3"/>
        <v>0</v>
      </c>
      <c r="DO9" s="104">
        <v>420</v>
      </c>
      <c r="DP9" s="104">
        <v>0</v>
      </c>
      <c r="DQ9" s="104">
        <v>452.89</v>
      </c>
      <c r="DR9" s="104">
        <v>0</v>
      </c>
    </row>
    <row r="10" spans="1:124" ht="18.75">
      <c r="A10" s="18"/>
      <c r="B10" s="18" t="s">
        <v>17</v>
      </c>
      <c r="C10" s="19" t="s">
        <v>18</v>
      </c>
      <c r="D10" s="20" t="s">
        <v>15</v>
      </c>
      <c r="E10" s="21" t="s">
        <v>19</v>
      </c>
      <c r="F10" s="22">
        <v>2409.39</v>
      </c>
      <c r="G10" s="22">
        <v>413.40000000000009</v>
      </c>
      <c r="H10" s="22">
        <v>2428.4700000000003</v>
      </c>
      <c r="I10" s="22">
        <v>470.00000000000011</v>
      </c>
      <c r="J10" s="88">
        <f t="shared" ref="J10:AB10" si="48">+J8+J9</f>
        <v>2809</v>
      </c>
      <c r="K10" s="88">
        <f t="shared" si="48"/>
        <v>13</v>
      </c>
      <c r="L10" s="88">
        <f t="shared" si="48"/>
        <v>0.18</v>
      </c>
      <c r="M10" s="88">
        <f t="shared" si="48"/>
        <v>2822.18</v>
      </c>
      <c r="N10" s="88">
        <f t="shared" si="48"/>
        <v>54.75</v>
      </c>
      <c r="O10" s="88">
        <f t="shared" si="48"/>
        <v>0</v>
      </c>
      <c r="P10" s="88">
        <f t="shared" si="48"/>
        <v>0</v>
      </c>
      <c r="Q10" s="88">
        <f t="shared" si="48"/>
        <v>54.75</v>
      </c>
      <c r="R10" s="88">
        <f t="shared" si="48"/>
        <v>2876.93</v>
      </c>
      <c r="S10" s="88">
        <f t="shared" si="48"/>
        <v>350</v>
      </c>
      <c r="T10" s="88">
        <f t="shared" si="48"/>
        <v>0</v>
      </c>
      <c r="U10" s="88">
        <f t="shared" si="48"/>
        <v>0</v>
      </c>
      <c r="V10" s="88">
        <f t="shared" si="48"/>
        <v>2570.0499999999997</v>
      </c>
      <c r="W10" s="88">
        <f t="shared" si="48"/>
        <v>485.37</v>
      </c>
      <c r="X10" s="88">
        <f t="shared" si="48"/>
        <v>306.87999999999994</v>
      </c>
      <c r="Y10" s="88">
        <f t="shared" si="48"/>
        <v>-135.37</v>
      </c>
      <c r="Z10" s="88">
        <f t="shared" si="48"/>
        <v>2518.89</v>
      </c>
      <c r="AA10" s="88">
        <f t="shared" si="48"/>
        <v>51.16</v>
      </c>
      <c r="AB10" s="88">
        <f t="shared" si="48"/>
        <v>2570.0499999999997</v>
      </c>
      <c r="AC10" s="109">
        <f t="shared" si="7"/>
        <v>0</v>
      </c>
      <c r="AD10" s="22">
        <f t="shared" ref="AD10:CP10" si="49">+AD8+AD9</f>
        <v>2570.0499999999997</v>
      </c>
      <c r="AE10" s="22">
        <f t="shared" si="49"/>
        <v>350</v>
      </c>
      <c r="AF10" s="22">
        <f t="shared" si="49"/>
        <v>315.77</v>
      </c>
      <c r="AG10" s="22">
        <f t="shared" si="49"/>
        <v>642</v>
      </c>
      <c r="AH10" s="22">
        <f t="shared" si="49"/>
        <v>88</v>
      </c>
      <c r="AI10" s="118">
        <f t="shared" si="49"/>
        <v>214</v>
      </c>
      <c r="AJ10" s="22">
        <f t="shared" si="49"/>
        <v>29</v>
      </c>
      <c r="AK10" s="22">
        <f t="shared" si="49"/>
        <v>0</v>
      </c>
      <c r="AL10" s="22">
        <f t="shared" si="49"/>
        <v>0</v>
      </c>
      <c r="AM10" s="22">
        <f t="shared" si="49"/>
        <v>642.51</v>
      </c>
      <c r="AN10" s="22">
        <f t="shared" si="49"/>
        <v>85.23</v>
      </c>
      <c r="AO10" s="22">
        <f t="shared" si="49"/>
        <v>0</v>
      </c>
      <c r="AP10" s="22">
        <f t="shared" si="49"/>
        <v>0</v>
      </c>
      <c r="AQ10" s="22">
        <f t="shared" si="49"/>
        <v>1284.51</v>
      </c>
      <c r="AR10" s="22">
        <f t="shared" si="49"/>
        <v>173.23000000000002</v>
      </c>
      <c r="AS10" s="22">
        <f t="shared" si="49"/>
        <v>0</v>
      </c>
      <c r="AT10" s="22">
        <f t="shared" si="49"/>
        <v>0</v>
      </c>
      <c r="AU10" s="22">
        <f t="shared" si="49"/>
        <v>642.51</v>
      </c>
      <c r="AV10" s="22">
        <f t="shared" si="49"/>
        <v>87.5</v>
      </c>
      <c r="AW10" s="22">
        <f t="shared" si="49"/>
        <v>0</v>
      </c>
      <c r="AX10" s="22">
        <f t="shared" si="49"/>
        <v>0</v>
      </c>
      <c r="AY10" s="22">
        <f t="shared" si="49"/>
        <v>2141.02</v>
      </c>
      <c r="AZ10" s="22">
        <f t="shared" si="49"/>
        <v>289.73</v>
      </c>
      <c r="BA10" s="22">
        <f t="shared" si="49"/>
        <v>2430.75</v>
      </c>
      <c r="BB10" s="22">
        <f t="shared" si="49"/>
        <v>2094.25</v>
      </c>
      <c r="BC10" s="22">
        <f t="shared" si="49"/>
        <v>183.63</v>
      </c>
      <c r="BD10" s="22">
        <f t="shared" si="49"/>
        <v>46.769999999999982</v>
      </c>
      <c r="BE10" s="22">
        <f t="shared" si="49"/>
        <v>106.10000000000002</v>
      </c>
      <c r="BF10" s="22">
        <f t="shared" si="49"/>
        <v>418.84999999999997</v>
      </c>
      <c r="BG10" s="118">
        <f t="shared" si="49"/>
        <v>36.729999999999997</v>
      </c>
      <c r="BH10" s="118">
        <f t="shared" si="49"/>
        <v>186.04</v>
      </c>
      <c r="BI10" s="118">
        <f t="shared" si="49"/>
        <v>0</v>
      </c>
      <c r="BJ10" s="118">
        <f t="shared" si="49"/>
        <v>0</v>
      </c>
      <c r="BK10" s="118">
        <f t="shared" si="49"/>
        <v>0</v>
      </c>
      <c r="BL10" s="118">
        <f t="shared" si="49"/>
        <v>2327.06</v>
      </c>
      <c r="BM10" s="118">
        <f t="shared" si="49"/>
        <v>289.73</v>
      </c>
      <c r="BN10" s="118">
        <f t="shared" si="49"/>
        <v>2616.79</v>
      </c>
      <c r="BO10" s="118">
        <f t="shared" si="49"/>
        <v>2303.11</v>
      </c>
      <c r="BP10" s="118">
        <f t="shared" si="49"/>
        <v>263.04000000000002</v>
      </c>
      <c r="BQ10" s="22">
        <f t="shared" si="49"/>
        <v>23.949999999999989</v>
      </c>
      <c r="BR10" s="22">
        <f t="shared" si="49"/>
        <v>26.689999999999998</v>
      </c>
      <c r="BS10" s="22">
        <f t="shared" si="49"/>
        <v>209.38000000000002</v>
      </c>
      <c r="BT10" s="22">
        <f t="shared" si="49"/>
        <v>23.91</v>
      </c>
      <c r="BU10" s="22">
        <f t="shared" si="49"/>
        <v>185.43000000000004</v>
      </c>
      <c r="BV10" s="22">
        <f t="shared" si="49"/>
        <v>0</v>
      </c>
      <c r="BW10" s="22">
        <f t="shared" si="49"/>
        <v>127.51</v>
      </c>
      <c r="BX10" s="22">
        <f t="shared" si="49"/>
        <v>80.27</v>
      </c>
      <c r="BY10" s="22">
        <f t="shared" si="49"/>
        <v>0</v>
      </c>
      <c r="BZ10" s="22">
        <f t="shared" si="49"/>
        <v>0</v>
      </c>
      <c r="CA10" s="22">
        <f t="shared" si="49"/>
        <v>2640</v>
      </c>
      <c r="CB10" s="22">
        <f t="shared" si="49"/>
        <v>370</v>
      </c>
      <c r="CC10" s="22">
        <f t="shared" si="49"/>
        <v>2904</v>
      </c>
      <c r="CD10" s="118">
        <f t="shared" si="49"/>
        <v>425.5</v>
      </c>
      <c r="CE10" s="190">
        <f t="shared" si="49"/>
        <v>242</v>
      </c>
      <c r="CF10" s="190">
        <f t="shared" si="49"/>
        <v>35</v>
      </c>
      <c r="CG10" s="190">
        <f t="shared" si="49"/>
        <v>660</v>
      </c>
      <c r="CH10" s="190">
        <f t="shared" si="49"/>
        <v>92.5</v>
      </c>
      <c r="CI10" s="190">
        <f t="shared" si="49"/>
        <v>0</v>
      </c>
      <c r="CJ10" s="190">
        <f t="shared" si="49"/>
        <v>0</v>
      </c>
      <c r="CK10" s="190">
        <f t="shared" si="49"/>
        <v>765</v>
      </c>
      <c r="CL10" s="190">
        <f t="shared" si="49"/>
        <v>45</v>
      </c>
      <c r="CM10" s="190">
        <f t="shared" si="49"/>
        <v>0</v>
      </c>
      <c r="CN10" s="190">
        <f t="shared" si="49"/>
        <v>0</v>
      </c>
      <c r="CO10" s="190">
        <f t="shared" si="49"/>
        <v>2999.0699999999997</v>
      </c>
      <c r="CP10" s="190">
        <f t="shared" si="49"/>
        <v>325</v>
      </c>
      <c r="CQ10" s="190">
        <f t="shared" ref="CQ10:DP10" si="50">+CQ8+CQ9</f>
        <v>3060</v>
      </c>
      <c r="CR10" s="190">
        <f t="shared" si="50"/>
        <v>180</v>
      </c>
      <c r="CS10" s="190">
        <f t="shared" si="50"/>
        <v>2827.2</v>
      </c>
      <c r="CT10" s="190">
        <f t="shared" si="50"/>
        <v>180</v>
      </c>
      <c r="CU10" s="190">
        <f t="shared" si="50"/>
        <v>2827.2</v>
      </c>
      <c r="CV10" s="190">
        <f t="shared" si="50"/>
        <v>350</v>
      </c>
      <c r="CW10" s="190">
        <f t="shared" si="50"/>
        <v>706.8</v>
      </c>
      <c r="CX10" s="190">
        <f t="shared" si="50"/>
        <v>77.5</v>
      </c>
      <c r="CY10" s="190">
        <f t="shared" si="50"/>
        <v>0</v>
      </c>
      <c r="CZ10" s="190">
        <f t="shared" si="50"/>
        <v>0</v>
      </c>
      <c r="DA10" s="190">
        <f t="shared" si="50"/>
        <v>1713.8</v>
      </c>
      <c r="DB10" s="190">
        <f t="shared" si="50"/>
        <v>157.5</v>
      </c>
      <c r="DC10" s="190">
        <f t="shared" si="50"/>
        <v>1550.74</v>
      </c>
      <c r="DD10" s="190">
        <f t="shared" si="50"/>
        <v>58.18</v>
      </c>
      <c r="DE10" s="190">
        <f t="shared" si="50"/>
        <v>163.06000000000003</v>
      </c>
      <c r="DF10" s="190">
        <f t="shared" si="50"/>
        <v>99.32</v>
      </c>
      <c r="DG10" s="190">
        <f t="shared" si="50"/>
        <v>706.8</v>
      </c>
      <c r="DH10" s="190">
        <f t="shared" si="50"/>
        <v>87.5</v>
      </c>
      <c r="DI10" s="190">
        <f t="shared" si="50"/>
        <v>543.7399999999999</v>
      </c>
      <c r="DJ10" s="190">
        <f t="shared" si="50"/>
        <v>0</v>
      </c>
      <c r="DK10" s="186">
        <f t="shared" si="50"/>
        <v>578.61000000000024</v>
      </c>
      <c r="DL10" s="22">
        <f t="shared" si="50"/>
        <v>197.5</v>
      </c>
      <c r="DM10" s="104">
        <f t="shared" si="2"/>
        <v>569.66</v>
      </c>
      <c r="DN10" s="104">
        <f t="shared" si="3"/>
        <v>192.5</v>
      </c>
      <c r="DO10" s="22">
        <f t="shared" si="50"/>
        <v>2836.15</v>
      </c>
      <c r="DP10" s="22">
        <f t="shared" si="50"/>
        <v>355</v>
      </c>
      <c r="DQ10" s="22">
        <f t="shared" ref="DQ10:DR10" si="51">+DQ8+DQ9</f>
        <v>2953.89</v>
      </c>
      <c r="DR10" s="22">
        <f t="shared" si="51"/>
        <v>375</v>
      </c>
    </row>
    <row r="11" spans="1:124" ht="18.75">
      <c r="A11" s="13">
        <v>5</v>
      </c>
      <c r="B11" s="13"/>
      <c r="C11" s="14"/>
      <c r="D11" s="15" t="s">
        <v>20</v>
      </c>
      <c r="E11" s="16"/>
      <c r="F11" s="81">
        <v>3460</v>
      </c>
      <c r="G11" s="81">
        <v>4335.1900000000005</v>
      </c>
      <c r="H11" s="81">
        <v>3460</v>
      </c>
      <c r="I11" s="17">
        <v>4365.1900000000005</v>
      </c>
      <c r="J11" s="86">
        <v>3699.7</v>
      </c>
      <c r="K11" s="87">
        <v>0</v>
      </c>
      <c r="L11" s="87">
        <v>0.3</v>
      </c>
      <c r="M11" s="87">
        <f>J11+K11+L11</f>
        <v>3700</v>
      </c>
      <c r="N11" s="87">
        <v>0</v>
      </c>
      <c r="O11" s="87">
        <v>0</v>
      </c>
      <c r="P11" s="87">
        <v>0</v>
      </c>
      <c r="Q11" s="87">
        <f>N11+O11+P11</f>
        <v>0</v>
      </c>
      <c r="R11" s="87">
        <f>Q11+M11</f>
        <v>3700</v>
      </c>
      <c r="S11" s="87">
        <v>4800</v>
      </c>
      <c r="V11" s="17">
        <f>ROUND(H11*1.0583,2)</f>
        <v>3661.72</v>
      </c>
      <c r="W11" s="17">
        <f>ROUND(I11*1.0327,2)</f>
        <v>4507.93</v>
      </c>
      <c r="X11" s="108">
        <f t="shared" si="4"/>
        <v>38.2800000000002</v>
      </c>
      <c r="Y11" s="108">
        <f t="shared" si="5"/>
        <v>292.06999999999971</v>
      </c>
      <c r="Z11" s="108">
        <v>3661.72</v>
      </c>
      <c r="AA11" s="108"/>
      <c r="AB11" s="108">
        <f t="shared" si="6"/>
        <v>3661.72</v>
      </c>
      <c r="AC11" s="109">
        <f t="shared" si="7"/>
        <v>0</v>
      </c>
      <c r="AD11" s="108">
        <f>IF(X11&gt;0,V11,R11)</f>
        <v>3661.72</v>
      </c>
      <c r="AE11" s="108">
        <f>IF(Y11&gt;0,W11,S11)</f>
        <v>4507.93</v>
      </c>
      <c r="AF11" s="108">
        <f t="shared" si="8"/>
        <v>4330.5600000000004</v>
      </c>
      <c r="AG11" s="108">
        <f t="shared" si="9"/>
        <v>915</v>
      </c>
      <c r="AH11" s="108">
        <f t="shared" si="46"/>
        <v>1127</v>
      </c>
      <c r="AI11" s="127">
        <f t="shared" si="10"/>
        <v>305</v>
      </c>
      <c r="AJ11" s="108">
        <f t="shared" si="11"/>
        <v>376</v>
      </c>
      <c r="AM11" s="108">
        <f t="shared" si="12"/>
        <v>915.43</v>
      </c>
      <c r="AN11" s="108">
        <f t="shared" si="13"/>
        <v>1097.68</v>
      </c>
      <c r="AQ11" s="116">
        <f t="shared" si="14"/>
        <v>1830.4299999999998</v>
      </c>
      <c r="AR11" s="116">
        <f t="shared" si="15"/>
        <v>2224.6800000000003</v>
      </c>
      <c r="AS11" s="116"/>
      <c r="AT11" s="116"/>
      <c r="AU11" s="116">
        <f t="shared" si="0"/>
        <v>915.43</v>
      </c>
      <c r="AV11" s="116">
        <f t="shared" si="16"/>
        <v>1126.98</v>
      </c>
      <c r="AW11" s="116"/>
      <c r="AX11" s="143">
        <v>170</v>
      </c>
      <c r="AY11" s="108">
        <f t="shared" si="17"/>
        <v>3050.8599999999997</v>
      </c>
      <c r="AZ11" s="108">
        <f t="shared" si="18"/>
        <v>3897.6600000000003</v>
      </c>
      <c r="BA11" s="108">
        <f t="shared" si="19"/>
        <v>6948.52</v>
      </c>
      <c r="BB11" s="139">
        <v>2999.56</v>
      </c>
      <c r="BC11" s="139">
        <v>3896.74</v>
      </c>
      <c r="BD11" s="139">
        <f t="shared" si="20"/>
        <v>51.299999999999727</v>
      </c>
      <c r="BE11" s="139">
        <f t="shared" si="21"/>
        <v>0.92000000000052751</v>
      </c>
      <c r="BF11" s="139">
        <f t="shared" si="22"/>
        <v>599.91</v>
      </c>
      <c r="BG11" s="139">
        <f t="shared" si="23"/>
        <v>779.35</v>
      </c>
      <c r="BH11" s="108">
        <v>274.31</v>
      </c>
      <c r="BI11" s="109">
        <v>226.17</v>
      </c>
      <c r="BJ11" s="109"/>
      <c r="BK11" s="109"/>
      <c r="BL11" s="108">
        <f t="shared" si="1"/>
        <v>3325.1699999999996</v>
      </c>
      <c r="BM11" s="108">
        <f t="shared" si="24"/>
        <v>4123.83</v>
      </c>
      <c r="BN11" s="108">
        <f t="shared" si="25"/>
        <v>7449</v>
      </c>
      <c r="BO11" s="108">
        <v>3313.13</v>
      </c>
      <c r="BP11" s="127">
        <v>4266.17</v>
      </c>
      <c r="BQ11" s="108">
        <f t="shared" si="26"/>
        <v>12.039999999999509</v>
      </c>
      <c r="BR11" s="108">
        <f t="shared" si="27"/>
        <v>-142.34000000000015</v>
      </c>
      <c r="BS11" s="108">
        <f t="shared" si="28"/>
        <v>301.19</v>
      </c>
      <c r="BT11" s="108">
        <f t="shared" si="29"/>
        <v>387.83</v>
      </c>
      <c r="BU11" s="143">
        <f>BS11-BQ11+20</f>
        <v>309.15000000000049</v>
      </c>
      <c r="BV11" s="108">
        <f t="shared" si="30"/>
        <v>530.16999999999996</v>
      </c>
      <c r="BW11" s="109">
        <f>10.68+60</f>
        <v>70.680000000000007</v>
      </c>
      <c r="BX11" s="108">
        <v>63.89</v>
      </c>
      <c r="CA11" s="108">
        <v>3705</v>
      </c>
      <c r="CB11" s="108">
        <v>4717.8900000000003</v>
      </c>
      <c r="CC11">
        <v>4075.5</v>
      </c>
      <c r="CD11">
        <v>5425.57</v>
      </c>
      <c r="CE11" s="189">
        <v>340</v>
      </c>
      <c r="CF11" s="189">
        <v>452</v>
      </c>
      <c r="CG11" s="189">
        <f t="shared" si="31"/>
        <v>926.25</v>
      </c>
      <c r="CH11" s="189">
        <f t="shared" si="32"/>
        <v>1179.47</v>
      </c>
      <c r="CI11" s="150"/>
      <c r="CJ11" s="150"/>
      <c r="CK11" s="150">
        <f>1050-25</f>
        <v>1025</v>
      </c>
      <c r="CL11" s="150">
        <f>1550-250</f>
        <v>1300</v>
      </c>
      <c r="CM11" s="150"/>
      <c r="CN11" s="150"/>
      <c r="CO11" s="150">
        <v>4000</v>
      </c>
      <c r="CP11" s="150">
        <v>4600</v>
      </c>
      <c r="CQ11" s="150">
        <f t="shared" si="33"/>
        <v>4100</v>
      </c>
      <c r="CR11" s="150">
        <f t="shared" si="34"/>
        <v>5200</v>
      </c>
      <c r="CS11" s="150">
        <f t="shared" si="35"/>
        <v>4000</v>
      </c>
      <c r="CT11" s="150">
        <f t="shared" si="36"/>
        <v>4600</v>
      </c>
      <c r="CU11" s="150">
        <v>4000</v>
      </c>
      <c r="CV11" s="150">
        <v>4600</v>
      </c>
      <c r="CW11" s="150">
        <f t="shared" si="37"/>
        <v>1000</v>
      </c>
      <c r="CX11" s="150">
        <f t="shared" si="38"/>
        <v>1150</v>
      </c>
      <c r="CY11" s="150"/>
      <c r="CZ11" s="150">
        <v>350</v>
      </c>
      <c r="DA11" s="150">
        <f t="shared" si="39"/>
        <v>2365</v>
      </c>
      <c r="DB11" s="150">
        <f t="shared" si="40"/>
        <v>3252</v>
      </c>
      <c r="DC11" s="150">
        <v>2273.4</v>
      </c>
      <c r="DD11" s="150">
        <v>3216.06</v>
      </c>
      <c r="DE11" s="150">
        <f t="shared" si="41"/>
        <v>91.599999999999909</v>
      </c>
      <c r="DF11" s="150">
        <f t="shared" si="42"/>
        <v>35.940000000000055</v>
      </c>
      <c r="DG11" s="150">
        <f>ROUND(0.25*(MIN(CU11,DO11)),2)</f>
        <v>1000</v>
      </c>
      <c r="DH11" s="150">
        <f>ROUND(0.25*(MIN(CV11,DP11)),2)</f>
        <v>1150</v>
      </c>
      <c r="DI11" s="150">
        <f>+DG11-DE11+191.6</f>
        <v>1100</v>
      </c>
      <c r="DJ11" s="150">
        <f>+DH11-DF11+133.94</f>
        <v>1248</v>
      </c>
      <c r="DK11" s="104">
        <f>+DO11-DA11-DI11</f>
        <v>1035.4998500000002</v>
      </c>
      <c r="DL11" s="104">
        <f>+DP11-DB11-DJ11</f>
        <v>1150</v>
      </c>
      <c r="DM11" s="104">
        <f t="shared" si="2"/>
        <v>535</v>
      </c>
      <c r="DN11" s="104">
        <f t="shared" si="3"/>
        <v>100</v>
      </c>
      <c r="DO11" s="179">
        <v>4500.4998500000002</v>
      </c>
      <c r="DP11" s="179">
        <v>5650</v>
      </c>
      <c r="DQ11" s="104">
        <v>5501.5</v>
      </c>
      <c r="DR11" s="104">
        <v>6900</v>
      </c>
    </row>
    <row r="12" spans="1:124" ht="37.5">
      <c r="A12" s="13">
        <v>6</v>
      </c>
      <c r="B12" s="13"/>
      <c r="C12" s="14"/>
      <c r="D12" s="15" t="s">
        <v>21</v>
      </c>
      <c r="E12" s="16"/>
      <c r="F12" s="81">
        <v>0</v>
      </c>
      <c r="G12" s="81">
        <v>0</v>
      </c>
      <c r="H12" s="81">
        <v>0</v>
      </c>
      <c r="I12" s="17">
        <v>0</v>
      </c>
      <c r="J12" s="86">
        <v>0</v>
      </c>
      <c r="K12" s="87">
        <v>0</v>
      </c>
      <c r="L12" s="87">
        <v>0</v>
      </c>
      <c r="M12" s="87">
        <f>J12+K12+L12</f>
        <v>0</v>
      </c>
      <c r="N12" s="87">
        <v>0</v>
      </c>
      <c r="O12" s="87">
        <v>0</v>
      </c>
      <c r="P12" s="87">
        <v>0</v>
      </c>
      <c r="Q12" s="87">
        <f>N12+O12+P12</f>
        <v>0</v>
      </c>
      <c r="R12" s="87">
        <f>Q12+M12</f>
        <v>0</v>
      </c>
      <c r="S12" s="87">
        <v>0</v>
      </c>
      <c r="V12" s="17">
        <f>ROUND(H12*1.0583,2)</f>
        <v>0</v>
      </c>
      <c r="W12" s="17">
        <f>ROUND(I12*1.0327,2)</f>
        <v>0</v>
      </c>
      <c r="X12" s="108">
        <f t="shared" si="4"/>
        <v>0</v>
      </c>
      <c r="Y12" s="108">
        <f t="shared" si="5"/>
        <v>0</v>
      </c>
      <c r="Z12" s="108">
        <v>0</v>
      </c>
      <c r="AA12" s="108"/>
      <c r="AB12" s="108">
        <f t="shared" si="6"/>
        <v>0</v>
      </c>
      <c r="AC12" s="109">
        <f t="shared" si="7"/>
        <v>0</v>
      </c>
      <c r="AD12" s="108">
        <f>IF(X12&gt;0,V12,R12)</f>
        <v>0</v>
      </c>
      <c r="AE12" s="108">
        <f>IF(Y12&gt;0,W12,S12)</f>
        <v>0</v>
      </c>
      <c r="AF12" s="108">
        <f t="shared" si="8"/>
        <v>0</v>
      </c>
      <c r="AG12" s="108">
        <f t="shared" si="9"/>
        <v>0</v>
      </c>
      <c r="AH12" s="108">
        <f t="shared" si="46"/>
        <v>0</v>
      </c>
      <c r="AI12" s="127">
        <f t="shared" si="10"/>
        <v>0</v>
      </c>
      <c r="AJ12" s="108">
        <f t="shared" si="11"/>
        <v>0</v>
      </c>
      <c r="AM12" s="108">
        <f t="shared" si="12"/>
        <v>0</v>
      </c>
      <c r="AN12" s="108">
        <f t="shared" si="13"/>
        <v>0</v>
      </c>
      <c r="AQ12" s="116">
        <f t="shared" si="14"/>
        <v>0</v>
      </c>
      <c r="AR12" s="116">
        <f t="shared" si="15"/>
        <v>0</v>
      </c>
      <c r="AS12" s="116"/>
      <c r="AT12" s="116"/>
      <c r="AU12" s="116">
        <f t="shared" si="0"/>
        <v>0</v>
      </c>
      <c r="AV12" s="116">
        <f t="shared" si="16"/>
        <v>0</v>
      </c>
      <c r="AW12" s="116"/>
      <c r="AX12" s="116"/>
      <c r="AY12" s="108">
        <f t="shared" si="17"/>
        <v>0</v>
      </c>
      <c r="AZ12" s="108">
        <f t="shared" si="18"/>
        <v>0</v>
      </c>
      <c r="BA12" s="108">
        <f t="shared" si="19"/>
        <v>0</v>
      </c>
      <c r="BB12" s="139">
        <v>0</v>
      </c>
      <c r="BD12" s="139">
        <f t="shared" si="20"/>
        <v>0</v>
      </c>
      <c r="BE12" s="139">
        <f t="shared" si="21"/>
        <v>0</v>
      </c>
      <c r="BF12" s="139">
        <f t="shared" si="22"/>
        <v>0</v>
      </c>
      <c r="BG12" s="139">
        <f t="shared" si="23"/>
        <v>0</v>
      </c>
      <c r="BH12" s="108">
        <v>0</v>
      </c>
      <c r="BI12" s="108">
        <v>0</v>
      </c>
      <c r="BL12" s="108">
        <f t="shared" si="1"/>
        <v>0</v>
      </c>
      <c r="BM12" s="108">
        <f t="shared" si="24"/>
        <v>0</v>
      </c>
      <c r="BN12" s="108">
        <f t="shared" si="25"/>
        <v>0</v>
      </c>
      <c r="BP12" s="127"/>
      <c r="BQ12" s="108">
        <f t="shared" si="26"/>
        <v>0</v>
      </c>
      <c r="BR12" s="108">
        <f t="shared" si="27"/>
        <v>0</v>
      </c>
      <c r="BS12" s="108">
        <f t="shared" si="28"/>
        <v>0</v>
      </c>
      <c r="BT12" s="108">
        <f t="shared" si="29"/>
        <v>0</v>
      </c>
      <c r="BU12" s="108">
        <f t="shared" si="47"/>
        <v>0</v>
      </c>
      <c r="BV12" s="108">
        <f t="shared" si="30"/>
        <v>0</v>
      </c>
      <c r="CA12" s="108">
        <v>0</v>
      </c>
      <c r="CB12" s="108">
        <v>0</v>
      </c>
      <c r="CC12">
        <v>0</v>
      </c>
      <c r="CD12">
        <v>0</v>
      </c>
      <c r="CE12" s="189">
        <v>0</v>
      </c>
      <c r="CF12" s="189">
        <v>0</v>
      </c>
      <c r="CG12" s="189">
        <f t="shared" si="31"/>
        <v>0</v>
      </c>
      <c r="CH12" s="189">
        <f t="shared" si="32"/>
        <v>0</v>
      </c>
      <c r="CI12" s="150"/>
      <c r="CJ12" s="150"/>
      <c r="CK12" s="150">
        <v>0</v>
      </c>
      <c r="CL12" s="150">
        <v>0</v>
      </c>
      <c r="CM12" s="150"/>
      <c r="CN12" s="150"/>
      <c r="CO12" s="150">
        <v>0</v>
      </c>
      <c r="CP12" s="150">
        <v>0</v>
      </c>
      <c r="CQ12" s="150">
        <f t="shared" si="33"/>
        <v>0</v>
      </c>
      <c r="CR12" s="150">
        <f t="shared" si="34"/>
        <v>0</v>
      </c>
      <c r="CS12" s="150">
        <f t="shared" si="35"/>
        <v>0</v>
      </c>
      <c r="CT12" s="150">
        <f t="shared" si="36"/>
        <v>0</v>
      </c>
      <c r="CU12" s="150">
        <v>0</v>
      </c>
      <c r="CV12" s="150">
        <v>0</v>
      </c>
      <c r="CW12" s="150">
        <f t="shared" si="37"/>
        <v>0</v>
      </c>
      <c r="CX12" s="150">
        <f t="shared" si="38"/>
        <v>0</v>
      </c>
      <c r="CY12" s="150"/>
      <c r="CZ12" s="150"/>
      <c r="DA12" s="150">
        <f t="shared" si="39"/>
        <v>0</v>
      </c>
      <c r="DB12" s="150">
        <f t="shared" si="40"/>
        <v>0</v>
      </c>
      <c r="DC12" s="150">
        <v>0</v>
      </c>
      <c r="DD12" s="150">
        <v>0</v>
      </c>
      <c r="DE12" s="150">
        <f t="shared" si="41"/>
        <v>0</v>
      </c>
      <c r="DF12" s="150">
        <f t="shared" si="42"/>
        <v>0</v>
      </c>
      <c r="DG12" s="150">
        <f>ROUND(0.25*(MIN(CU12,DO12)),2)</f>
        <v>0</v>
      </c>
      <c r="DH12" s="150">
        <f>ROUND(0.25*(MIN(CV12,DP12)),2)</f>
        <v>0</v>
      </c>
      <c r="DI12" s="150">
        <f>+DG12-DE12</f>
        <v>0</v>
      </c>
      <c r="DJ12" s="150">
        <f>+DH12-DF12</f>
        <v>0</v>
      </c>
      <c r="DK12" s="104">
        <f>+DO12-DA12-DI12</f>
        <v>0</v>
      </c>
      <c r="DL12" s="104">
        <f>+DP12-DB12-DJ12</f>
        <v>0</v>
      </c>
      <c r="DM12" s="104">
        <f t="shared" si="2"/>
        <v>0</v>
      </c>
      <c r="DN12" s="104">
        <f t="shared" si="3"/>
        <v>0</v>
      </c>
    </row>
    <row r="13" spans="1:124" s="176" customFormat="1" ht="18.75">
      <c r="A13" s="18"/>
      <c r="B13" s="18" t="s">
        <v>22</v>
      </c>
      <c r="C13" s="19" t="s">
        <v>23</v>
      </c>
      <c r="D13" s="20" t="s">
        <v>20</v>
      </c>
      <c r="E13" s="21" t="s">
        <v>24</v>
      </c>
      <c r="F13" s="54">
        <v>3460</v>
      </c>
      <c r="G13" s="54">
        <v>4335.1900000000005</v>
      </c>
      <c r="H13" s="54">
        <v>3460</v>
      </c>
      <c r="I13" s="54">
        <v>4365.1900000000005</v>
      </c>
      <c r="J13" s="93">
        <f t="shared" ref="J13:AA13" si="52">+J11+J12</f>
        <v>3699.7</v>
      </c>
      <c r="K13" s="93">
        <f t="shared" si="52"/>
        <v>0</v>
      </c>
      <c r="L13" s="93">
        <f t="shared" si="52"/>
        <v>0.3</v>
      </c>
      <c r="M13" s="93">
        <f t="shared" si="52"/>
        <v>3700</v>
      </c>
      <c r="N13" s="93">
        <f t="shared" si="52"/>
        <v>0</v>
      </c>
      <c r="O13" s="93">
        <f t="shared" si="52"/>
        <v>0</v>
      </c>
      <c r="P13" s="93">
        <f t="shared" si="52"/>
        <v>0</v>
      </c>
      <c r="Q13" s="93">
        <f t="shared" si="52"/>
        <v>0</v>
      </c>
      <c r="R13" s="93">
        <f t="shared" si="52"/>
        <v>3700</v>
      </c>
      <c r="S13" s="93">
        <f t="shared" si="52"/>
        <v>4800</v>
      </c>
      <c r="T13" s="93">
        <f t="shared" si="52"/>
        <v>0</v>
      </c>
      <c r="U13" s="93">
        <f t="shared" si="52"/>
        <v>0</v>
      </c>
      <c r="V13" s="93">
        <f t="shared" si="52"/>
        <v>3661.72</v>
      </c>
      <c r="W13" s="93">
        <f t="shared" si="52"/>
        <v>4507.93</v>
      </c>
      <c r="X13" s="93">
        <f t="shared" si="52"/>
        <v>38.2800000000002</v>
      </c>
      <c r="Y13" s="93">
        <f t="shared" si="52"/>
        <v>292.06999999999971</v>
      </c>
      <c r="Z13" s="93">
        <f t="shared" si="52"/>
        <v>3661.72</v>
      </c>
      <c r="AA13" s="93">
        <f t="shared" si="52"/>
        <v>0</v>
      </c>
      <c r="AB13" s="54">
        <f t="shared" si="6"/>
        <v>3661.72</v>
      </c>
      <c r="AC13" s="175">
        <f t="shared" si="7"/>
        <v>0</v>
      </c>
      <c r="AD13" s="54">
        <f t="shared" ref="AD13:CP13" si="53">+AD11+AD12</f>
        <v>3661.72</v>
      </c>
      <c r="AE13" s="54">
        <f t="shared" si="53"/>
        <v>4507.93</v>
      </c>
      <c r="AF13" s="54">
        <f t="shared" si="53"/>
        <v>4330.5600000000004</v>
      </c>
      <c r="AG13" s="54">
        <f t="shared" si="53"/>
        <v>915</v>
      </c>
      <c r="AH13" s="54">
        <f t="shared" si="53"/>
        <v>1127</v>
      </c>
      <c r="AI13" s="177">
        <f t="shared" si="53"/>
        <v>305</v>
      </c>
      <c r="AJ13" s="54">
        <f t="shared" si="53"/>
        <v>376</v>
      </c>
      <c r="AK13" s="54">
        <f t="shared" si="53"/>
        <v>0</v>
      </c>
      <c r="AL13" s="54">
        <f t="shared" si="53"/>
        <v>0</v>
      </c>
      <c r="AM13" s="54">
        <f t="shared" si="53"/>
        <v>915.43</v>
      </c>
      <c r="AN13" s="54">
        <f t="shared" si="53"/>
        <v>1097.68</v>
      </c>
      <c r="AO13" s="54">
        <f t="shared" si="53"/>
        <v>0</v>
      </c>
      <c r="AP13" s="54">
        <f t="shared" si="53"/>
        <v>0</v>
      </c>
      <c r="AQ13" s="54">
        <f t="shared" si="53"/>
        <v>1830.4299999999998</v>
      </c>
      <c r="AR13" s="54">
        <f t="shared" si="53"/>
        <v>2224.6800000000003</v>
      </c>
      <c r="AS13" s="54">
        <f t="shared" si="53"/>
        <v>0</v>
      </c>
      <c r="AT13" s="54">
        <f t="shared" si="53"/>
        <v>0</v>
      </c>
      <c r="AU13" s="54">
        <f t="shared" si="53"/>
        <v>915.43</v>
      </c>
      <c r="AV13" s="54">
        <f t="shared" si="53"/>
        <v>1126.98</v>
      </c>
      <c r="AW13" s="54">
        <f t="shared" si="53"/>
        <v>0</v>
      </c>
      <c r="AX13" s="54">
        <f t="shared" si="53"/>
        <v>170</v>
      </c>
      <c r="AY13" s="54">
        <f t="shared" si="53"/>
        <v>3050.8599999999997</v>
      </c>
      <c r="AZ13" s="54">
        <f t="shared" si="53"/>
        <v>3897.6600000000003</v>
      </c>
      <c r="BA13" s="54">
        <f t="shared" si="53"/>
        <v>6948.52</v>
      </c>
      <c r="BB13" s="54">
        <f t="shared" si="53"/>
        <v>2999.56</v>
      </c>
      <c r="BC13" s="54">
        <f t="shared" si="53"/>
        <v>3896.74</v>
      </c>
      <c r="BD13" s="54">
        <f t="shared" si="53"/>
        <v>51.299999999999727</v>
      </c>
      <c r="BE13" s="54">
        <f t="shared" si="53"/>
        <v>0.92000000000052751</v>
      </c>
      <c r="BF13" s="54">
        <f t="shared" si="53"/>
        <v>599.91</v>
      </c>
      <c r="BG13" s="177">
        <f t="shared" si="53"/>
        <v>779.35</v>
      </c>
      <c r="BH13" s="177">
        <f t="shared" si="53"/>
        <v>274.31</v>
      </c>
      <c r="BI13" s="177">
        <f t="shared" si="53"/>
        <v>226.17</v>
      </c>
      <c r="BJ13" s="177">
        <f t="shared" si="53"/>
        <v>0</v>
      </c>
      <c r="BK13" s="177">
        <f t="shared" si="53"/>
        <v>0</v>
      </c>
      <c r="BL13" s="177">
        <f t="shared" si="53"/>
        <v>3325.1699999999996</v>
      </c>
      <c r="BM13" s="177">
        <f t="shared" si="53"/>
        <v>4123.83</v>
      </c>
      <c r="BN13" s="177">
        <f t="shared" si="53"/>
        <v>7449</v>
      </c>
      <c r="BO13" s="177">
        <f t="shared" si="53"/>
        <v>3313.13</v>
      </c>
      <c r="BP13" s="177">
        <f t="shared" si="53"/>
        <v>4266.17</v>
      </c>
      <c r="BQ13" s="54">
        <f t="shared" si="53"/>
        <v>12.039999999999509</v>
      </c>
      <c r="BR13" s="54">
        <f t="shared" si="53"/>
        <v>-142.34000000000015</v>
      </c>
      <c r="BS13" s="54">
        <f t="shared" si="53"/>
        <v>301.19</v>
      </c>
      <c r="BT13" s="54">
        <f t="shared" si="53"/>
        <v>387.83</v>
      </c>
      <c r="BU13" s="54">
        <f t="shared" si="53"/>
        <v>309.15000000000049</v>
      </c>
      <c r="BV13" s="54">
        <f t="shared" si="53"/>
        <v>530.16999999999996</v>
      </c>
      <c r="BW13" s="54">
        <f t="shared" si="53"/>
        <v>70.680000000000007</v>
      </c>
      <c r="BX13" s="54">
        <f t="shared" si="53"/>
        <v>63.89</v>
      </c>
      <c r="BY13" s="54">
        <f t="shared" si="53"/>
        <v>0</v>
      </c>
      <c r="BZ13" s="54">
        <f t="shared" si="53"/>
        <v>0</v>
      </c>
      <c r="CA13" s="54">
        <f t="shared" si="53"/>
        <v>3705</v>
      </c>
      <c r="CB13" s="54">
        <f t="shared" si="53"/>
        <v>4717.8900000000003</v>
      </c>
      <c r="CC13" s="54">
        <f t="shared" si="53"/>
        <v>4075.5</v>
      </c>
      <c r="CD13" s="177">
        <f t="shared" si="53"/>
        <v>5425.57</v>
      </c>
      <c r="CE13" s="191">
        <f t="shared" si="53"/>
        <v>340</v>
      </c>
      <c r="CF13" s="191">
        <f t="shared" si="53"/>
        <v>452</v>
      </c>
      <c r="CG13" s="191">
        <f t="shared" si="53"/>
        <v>926.25</v>
      </c>
      <c r="CH13" s="191">
        <f t="shared" si="53"/>
        <v>1179.47</v>
      </c>
      <c r="CI13" s="191">
        <f t="shared" si="53"/>
        <v>0</v>
      </c>
      <c r="CJ13" s="191">
        <f t="shared" si="53"/>
        <v>0</v>
      </c>
      <c r="CK13" s="191">
        <f t="shared" si="53"/>
        <v>1025</v>
      </c>
      <c r="CL13" s="191">
        <f t="shared" si="53"/>
        <v>1300</v>
      </c>
      <c r="CM13" s="191">
        <f t="shared" si="53"/>
        <v>0</v>
      </c>
      <c r="CN13" s="191">
        <f t="shared" si="53"/>
        <v>0</v>
      </c>
      <c r="CO13" s="191">
        <f t="shared" si="53"/>
        <v>4000</v>
      </c>
      <c r="CP13" s="191">
        <f t="shared" si="53"/>
        <v>4600</v>
      </c>
      <c r="CQ13" s="191">
        <f t="shared" ref="CQ13:DR13" si="54">+CQ11+CQ12</f>
        <v>4100</v>
      </c>
      <c r="CR13" s="191">
        <f t="shared" si="54"/>
        <v>5200</v>
      </c>
      <c r="CS13" s="191">
        <f t="shared" si="54"/>
        <v>4000</v>
      </c>
      <c r="CT13" s="191">
        <f t="shared" si="54"/>
        <v>4600</v>
      </c>
      <c r="CU13" s="191">
        <f t="shared" si="54"/>
        <v>4000</v>
      </c>
      <c r="CV13" s="191">
        <f t="shared" si="54"/>
        <v>4600</v>
      </c>
      <c r="CW13" s="191">
        <f t="shared" si="54"/>
        <v>1000</v>
      </c>
      <c r="CX13" s="191">
        <f t="shared" si="54"/>
        <v>1150</v>
      </c>
      <c r="CY13" s="191">
        <f t="shared" si="54"/>
        <v>0</v>
      </c>
      <c r="CZ13" s="191">
        <f t="shared" si="54"/>
        <v>350</v>
      </c>
      <c r="DA13" s="191">
        <f t="shared" si="54"/>
        <v>2365</v>
      </c>
      <c r="DB13" s="191">
        <f t="shared" si="54"/>
        <v>3252</v>
      </c>
      <c r="DC13" s="191">
        <f t="shared" si="54"/>
        <v>2273.4</v>
      </c>
      <c r="DD13" s="191">
        <f t="shared" si="54"/>
        <v>3216.06</v>
      </c>
      <c r="DE13" s="191">
        <f t="shared" si="54"/>
        <v>91.599999999999909</v>
      </c>
      <c r="DF13" s="191">
        <f t="shared" si="54"/>
        <v>35.940000000000055</v>
      </c>
      <c r="DG13" s="191">
        <f t="shared" si="54"/>
        <v>1000</v>
      </c>
      <c r="DH13" s="191">
        <f t="shared" si="54"/>
        <v>1150</v>
      </c>
      <c r="DI13" s="191">
        <f t="shared" si="54"/>
        <v>1100</v>
      </c>
      <c r="DJ13" s="191">
        <f t="shared" si="54"/>
        <v>1248</v>
      </c>
      <c r="DK13" s="187">
        <f t="shared" si="54"/>
        <v>1035.4998500000002</v>
      </c>
      <c r="DL13" s="54">
        <f t="shared" si="54"/>
        <v>1150</v>
      </c>
      <c r="DM13" s="104">
        <f t="shared" si="2"/>
        <v>535</v>
      </c>
      <c r="DN13" s="104">
        <f t="shared" si="3"/>
        <v>100</v>
      </c>
      <c r="DO13" s="54">
        <f t="shared" si="54"/>
        <v>4500.4998500000002</v>
      </c>
      <c r="DP13" s="54">
        <f t="shared" si="54"/>
        <v>5650</v>
      </c>
      <c r="DQ13" s="54">
        <f t="shared" si="54"/>
        <v>5501.5</v>
      </c>
      <c r="DR13" s="54">
        <f t="shared" si="54"/>
        <v>6900</v>
      </c>
    </row>
    <row r="14" spans="1:124" ht="18.75">
      <c r="A14" s="13">
        <v>7</v>
      </c>
      <c r="B14" s="27"/>
      <c r="C14" s="28"/>
      <c r="D14" s="29" t="s">
        <v>25</v>
      </c>
      <c r="E14" s="30"/>
      <c r="F14" s="81">
        <v>2001.1100000000004</v>
      </c>
      <c r="G14" s="81">
        <v>2564.23</v>
      </c>
      <c r="H14" s="81">
        <v>2001.1100000000004</v>
      </c>
      <c r="I14" s="31">
        <v>2644.23</v>
      </c>
      <c r="J14" s="89">
        <v>2315</v>
      </c>
      <c r="K14" s="87">
        <v>0</v>
      </c>
      <c r="L14" s="87">
        <v>0</v>
      </c>
      <c r="M14" s="87">
        <f>J14+K14+L14</f>
        <v>2315</v>
      </c>
      <c r="N14" s="87">
        <v>0</v>
      </c>
      <c r="O14" s="87">
        <v>0</v>
      </c>
      <c r="P14" s="87">
        <v>0</v>
      </c>
      <c r="Q14" s="87">
        <f>N14+O14+P14</f>
        <v>0</v>
      </c>
      <c r="R14" s="87">
        <f>Q14+M14</f>
        <v>2315</v>
      </c>
      <c r="S14" s="87">
        <v>2742</v>
      </c>
      <c r="V14" s="17">
        <f>ROUND(H14*1.0583,2)</f>
        <v>2117.77</v>
      </c>
      <c r="W14" s="17">
        <f>ROUND(I14*1.0327,2)</f>
        <v>2730.7</v>
      </c>
      <c r="X14" s="108">
        <f t="shared" si="4"/>
        <v>197.23000000000002</v>
      </c>
      <c r="Y14" s="108">
        <f t="shared" si="5"/>
        <v>11.300000000000182</v>
      </c>
      <c r="Z14" s="108">
        <v>2117.77</v>
      </c>
      <c r="AA14" s="108"/>
      <c r="AB14" s="108">
        <f t="shared" si="6"/>
        <v>2117.77</v>
      </c>
      <c r="AC14" s="109">
        <f t="shared" si="7"/>
        <v>0</v>
      </c>
      <c r="AD14" s="108">
        <f>IF(X14&gt;0,V14,R14)</f>
        <v>2117.77</v>
      </c>
      <c r="AE14" s="108">
        <f>IF(Y14&gt;0,W14,S14)</f>
        <v>2730.7</v>
      </c>
      <c r="AF14" s="108">
        <f t="shared" si="8"/>
        <v>2473.83</v>
      </c>
      <c r="AG14" s="108">
        <f t="shared" si="9"/>
        <v>529</v>
      </c>
      <c r="AH14" s="108">
        <f t="shared" si="46"/>
        <v>683</v>
      </c>
      <c r="AI14" s="127">
        <f t="shared" si="10"/>
        <v>176</v>
      </c>
      <c r="AJ14" s="108">
        <f t="shared" si="11"/>
        <v>228</v>
      </c>
      <c r="AM14" s="108">
        <f t="shared" si="12"/>
        <v>529.44000000000005</v>
      </c>
      <c r="AN14" s="108">
        <f t="shared" si="13"/>
        <v>664.93</v>
      </c>
      <c r="AQ14" s="108">
        <f t="shared" si="14"/>
        <v>1058.44</v>
      </c>
      <c r="AR14" s="108">
        <f t="shared" si="15"/>
        <v>1347.9299999999998</v>
      </c>
      <c r="AU14" s="108">
        <f t="shared" si="0"/>
        <v>529.44000000000005</v>
      </c>
      <c r="AV14" s="137">
        <f>ROUND(AE14*25%,2)-100</f>
        <v>582.67999999999995</v>
      </c>
      <c r="AW14" s="141"/>
      <c r="AX14" s="141"/>
      <c r="AY14" s="108">
        <f t="shared" si="17"/>
        <v>1763.88</v>
      </c>
      <c r="AZ14" s="108">
        <f t="shared" si="18"/>
        <v>2158.6099999999997</v>
      </c>
      <c r="BA14" s="108">
        <f t="shared" si="19"/>
        <v>3922.49</v>
      </c>
      <c r="BB14" s="139">
        <v>1595.63</v>
      </c>
      <c r="BC14" s="139">
        <v>2164.38</v>
      </c>
      <c r="BD14" s="139">
        <f t="shared" si="20"/>
        <v>168.25</v>
      </c>
      <c r="BE14" s="139">
        <f t="shared" si="21"/>
        <v>-5.7700000000004366</v>
      </c>
      <c r="BF14" s="139">
        <f t="shared" si="22"/>
        <v>319.13</v>
      </c>
      <c r="BG14" s="139">
        <f t="shared" si="23"/>
        <v>432.88</v>
      </c>
      <c r="BH14" s="108">
        <v>75.44</v>
      </c>
      <c r="BI14" s="109">
        <v>265.33</v>
      </c>
      <c r="BJ14" s="109"/>
      <c r="BK14" s="109"/>
      <c r="BL14" s="108">
        <f t="shared" si="1"/>
        <v>1839.3200000000002</v>
      </c>
      <c r="BM14" s="108">
        <f t="shared" si="24"/>
        <v>2423.9399999999996</v>
      </c>
      <c r="BN14" s="108">
        <f t="shared" si="25"/>
        <v>4263.26</v>
      </c>
      <c r="BO14" s="108">
        <v>1759.33</v>
      </c>
      <c r="BP14" s="127">
        <v>2561.33</v>
      </c>
      <c r="BQ14" s="108">
        <f t="shared" si="26"/>
        <v>79.990000000000236</v>
      </c>
      <c r="BR14" s="108">
        <f t="shared" si="27"/>
        <v>-137.39000000000033</v>
      </c>
      <c r="BS14" s="108">
        <f t="shared" si="28"/>
        <v>159.94</v>
      </c>
      <c r="BT14" s="108">
        <f t="shared" si="29"/>
        <v>232.85</v>
      </c>
      <c r="BU14" s="143">
        <v>102</v>
      </c>
      <c r="BV14" s="143">
        <v>280</v>
      </c>
      <c r="BW14" s="143"/>
      <c r="BX14" s="143"/>
      <c r="BY14" s="143"/>
      <c r="BZ14" s="143"/>
      <c r="CA14" s="108">
        <v>1941.3200000000002</v>
      </c>
      <c r="CB14" s="108">
        <v>2703.9399999999996</v>
      </c>
      <c r="CC14">
        <v>2135.4499999999998</v>
      </c>
      <c r="CD14">
        <v>3109.53</v>
      </c>
      <c r="CE14" s="189">
        <v>178</v>
      </c>
      <c r="CF14" s="189">
        <v>259</v>
      </c>
      <c r="CG14" s="189">
        <f t="shared" si="31"/>
        <v>485.33</v>
      </c>
      <c r="CH14" s="189">
        <f t="shared" si="32"/>
        <v>675.99</v>
      </c>
      <c r="CI14" s="150"/>
      <c r="CJ14" s="150"/>
      <c r="CK14" s="150">
        <v>475</v>
      </c>
      <c r="CL14" s="150">
        <f>870-170</f>
        <v>700</v>
      </c>
      <c r="CM14" s="150"/>
      <c r="CN14" s="150"/>
      <c r="CO14" s="150">
        <v>1900</v>
      </c>
      <c r="CP14" s="150">
        <v>2800</v>
      </c>
      <c r="CQ14" s="150">
        <f t="shared" si="33"/>
        <v>1900</v>
      </c>
      <c r="CR14" s="150">
        <f t="shared" si="34"/>
        <v>2800</v>
      </c>
      <c r="CS14" s="150">
        <f t="shared" si="35"/>
        <v>1900</v>
      </c>
      <c r="CT14" s="150">
        <f t="shared" si="36"/>
        <v>2800</v>
      </c>
      <c r="CU14" s="150">
        <v>1900</v>
      </c>
      <c r="CV14" s="150">
        <v>2800</v>
      </c>
      <c r="CW14" s="150">
        <f t="shared" si="37"/>
        <v>475</v>
      </c>
      <c r="CX14" s="150">
        <f t="shared" si="38"/>
        <v>700</v>
      </c>
      <c r="CY14" s="150"/>
      <c r="CZ14" s="150"/>
      <c r="DA14" s="150">
        <f t="shared" si="39"/>
        <v>1128</v>
      </c>
      <c r="DB14" s="150">
        <f t="shared" si="40"/>
        <v>1659</v>
      </c>
      <c r="DC14" s="150">
        <v>1166.74</v>
      </c>
      <c r="DD14" s="150">
        <v>1873.07</v>
      </c>
      <c r="DE14" s="150">
        <f t="shared" si="41"/>
        <v>-38.740000000000009</v>
      </c>
      <c r="DF14" s="150">
        <f t="shared" si="42"/>
        <v>-214.06999999999994</v>
      </c>
      <c r="DG14" s="150">
        <f>ROUND(0.25*(MIN(CU14,DO14)),2)</f>
        <v>475</v>
      </c>
      <c r="DH14" s="150">
        <f>ROUND(0.25*(MIN(CV14,DP14)),2)</f>
        <v>700</v>
      </c>
      <c r="DI14" s="150">
        <f>+DG14-DE14</f>
        <v>513.74</v>
      </c>
      <c r="DJ14" s="150">
        <f>+DH14-DF14</f>
        <v>914.06999999999994</v>
      </c>
      <c r="DK14" s="104">
        <f>+DO14-DA14-DI14</f>
        <v>408.26</v>
      </c>
      <c r="DL14" s="104">
        <f>+DP14-DB14-DJ14</f>
        <v>626.93000000000006</v>
      </c>
      <c r="DM14" s="104">
        <f t="shared" si="2"/>
        <v>258.26</v>
      </c>
      <c r="DN14" s="104">
        <f t="shared" si="3"/>
        <v>226.93000000000006</v>
      </c>
      <c r="DO14" s="104">
        <v>2050</v>
      </c>
      <c r="DP14" s="104">
        <v>3200</v>
      </c>
      <c r="DQ14" s="104">
        <v>2185</v>
      </c>
      <c r="DR14" s="104">
        <v>3320</v>
      </c>
    </row>
    <row r="15" spans="1:124" ht="18.75">
      <c r="A15" s="13">
        <v>8</v>
      </c>
      <c r="B15" s="13"/>
      <c r="C15" s="14"/>
      <c r="D15" s="15" t="s">
        <v>26</v>
      </c>
      <c r="E15" s="16"/>
      <c r="F15" s="81">
        <v>170.92000000000002</v>
      </c>
      <c r="G15" s="81">
        <v>0</v>
      </c>
      <c r="H15" s="81">
        <v>170.92000000000002</v>
      </c>
      <c r="I15" s="17">
        <v>0</v>
      </c>
      <c r="J15" s="86">
        <v>278.3</v>
      </c>
      <c r="K15" s="87">
        <v>0</v>
      </c>
      <c r="L15" s="87">
        <v>0</v>
      </c>
      <c r="M15" s="87">
        <f>J15+K15+L15</f>
        <v>278.3</v>
      </c>
      <c r="N15" s="87">
        <v>0</v>
      </c>
      <c r="O15" s="87">
        <v>0</v>
      </c>
      <c r="P15" s="87">
        <v>0</v>
      </c>
      <c r="Q15" s="87">
        <f>N15+O15+P15</f>
        <v>0</v>
      </c>
      <c r="R15" s="87">
        <f>Q15+M15</f>
        <v>278.3</v>
      </c>
      <c r="S15" s="87">
        <v>0</v>
      </c>
      <c r="V15" s="17">
        <f>ROUND(H15*1.0583,2)</f>
        <v>180.88</v>
      </c>
      <c r="W15" s="17">
        <f>ROUND(I15*1.0327,2)</f>
        <v>0</v>
      </c>
      <c r="X15" s="108">
        <f t="shared" si="4"/>
        <v>97.420000000000016</v>
      </c>
      <c r="Y15" s="108">
        <f t="shared" si="5"/>
        <v>0</v>
      </c>
      <c r="Z15" s="108">
        <v>180.88</v>
      </c>
      <c r="AA15" s="108"/>
      <c r="AB15" s="108">
        <f t="shared" si="6"/>
        <v>180.88</v>
      </c>
      <c r="AC15" s="109">
        <f t="shared" si="7"/>
        <v>0</v>
      </c>
      <c r="AD15" s="108">
        <f>IF(X15&gt;0,V15,R15)</f>
        <v>180.88</v>
      </c>
      <c r="AE15" s="108">
        <f>IF(Y15&gt;0,W15,S15)</f>
        <v>0</v>
      </c>
      <c r="AF15" s="108">
        <f t="shared" si="8"/>
        <v>0</v>
      </c>
      <c r="AG15" s="108">
        <f t="shared" si="9"/>
        <v>45</v>
      </c>
      <c r="AH15" s="108">
        <f t="shared" si="46"/>
        <v>0</v>
      </c>
      <c r="AI15" s="127">
        <f t="shared" si="10"/>
        <v>15</v>
      </c>
      <c r="AJ15" s="108">
        <f t="shared" si="11"/>
        <v>0</v>
      </c>
      <c r="AM15" s="108">
        <f t="shared" si="12"/>
        <v>45.22</v>
      </c>
      <c r="AN15" s="108">
        <f t="shared" si="13"/>
        <v>0</v>
      </c>
      <c r="AQ15" s="108">
        <f t="shared" si="14"/>
        <v>90.22</v>
      </c>
      <c r="AR15" s="108">
        <f t="shared" si="15"/>
        <v>0</v>
      </c>
      <c r="AU15" s="108">
        <f t="shared" si="0"/>
        <v>45.22</v>
      </c>
      <c r="AV15" s="108">
        <f t="shared" si="16"/>
        <v>0</v>
      </c>
      <c r="AY15" s="108">
        <f t="shared" si="17"/>
        <v>150.44</v>
      </c>
      <c r="AZ15" s="108">
        <f t="shared" si="18"/>
        <v>0</v>
      </c>
      <c r="BA15" s="108">
        <f t="shared" si="19"/>
        <v>150.44</v>
      </c>
      <c r="BB15" s="139">
        <v>150.44</v>
      </c>
      <c r="BD15" s="139">
        <f t="shared" si="20"/>
        <v>0</v>
      </c>
      <c r="BE15" s="139">
        <f t="shared" si="21"/>
        <v>0</v>
      </c>
      <c r="BF15" s="139">
        <f t="shared" si="22"/>
        <v>30.09</v>
      </c>
      <c r="BG15" s="139">
        <f t="shared" si="23"/>
        <v>0</v>
      </c>
      <c r="BH15" s="108">
        <v>15.05</v>
      </c>
      <c r="BI15" s="108">
        <v>0</v>
      </c>
      <c r="BL15" s="108">
        <f t="shared" si="1"/>
        <v>165.49</v>
      </c>
      <c r="BM15" s="108">
        <f t="shared" si="24"/>
        <v>0</v>
      </c>
      <c r="BN15" s="108">
        <f t="shared" si="25"/>
        <v>165.49</v>
      </c>
      <c r="BO15" s="108">
        <v>150.44</v>
      </c>
      <c r="BP15" s="127"/>
      <c r="BQ15" s="108">
        <f t="shared" si="26"/>
        <v>15.050000000000011</v>
      </c>
      <c r="BR15" s="108">
        <f t="shared" si="27"/>
        <v>0</v>
      </c>
      <c r="BS15" s="108">
        <f t="shared" si="28"/>
        <v>13.68</v>
      </c>
      <c r="BT15" s="108">
        <f t="shared" si="29"/>
        <v>0</v>
      </c>
      <c r="BU15" s="108">
        <v>0</v>
      </c>
      <c r="BV15" s="108">
        <f>ROUND(BT15-BR15,2)</f>
        <v>0</v>
      </c>
      <c r="BW15" s="109">
        <v>112.81</v>
      </c>
      <c r="CA15" s="108">
        <v>278.3</v>
      </c>
      <c r="CB15" s="108">
        <v>0</v>
      </c>
      <c r="CC15">
        <v>306.13</v>
      </c>
      <c r="CD15">
        <v>0</v>
      </c>
      <c r="CE15" s="189">
        <v>26</v>
      </c>
      <c r="CF15" s="189">
        <v>0</v>
      </c>
      <c r="CG15" s="189">
        <f t="shared" si="31"/>
        <v>69.58</v>
      </c>
      <c r="CH15" s="189">
        <f t="shared" si="32"/>
        <v>0</v>
      </c>
      <c r="CI15" s="150"/>
      <c r="CJ15" s="150"/>
      <c r="CK15" s="150">
        <f>80-10</f>
        <v>70</v>
      </c>
      <c r="CL15" s="150">
        <v>0</v>
      </c>
      <c r="CM15" s="150"/>
      <c r="CN15" s="150"/>
      <c r="CO15" s="150">
        <v>121.42</v>
      </c>
      <c r="CP15" s="150"/>
      <c r="CQ15" s="150">
        <f t="shared" si="33"/>
        <v>280</v>
      </c>
      <c r="CR15" s="150">
        <f t="shared" si="34"/>
        <v>0</v>
      </c>
      <c r="CS15" s="150">
        <f t="shared" si="35"/>
        <v>121.42</v>
      </c>
      <c r="CT15" s="150">
        <f t="shared" si="36"/>
        <v>0</v>
      </c>
      <c r="CU15" s="150">
        <v>121.42</v>
      </c>
      <c r="CV15" s="150">
        <v>0</v>
      </c>
      <c r="CW15" s="150">
        <f>ROUND(CU15*25%,2)-4.94</f>
        <v>25.419999999999998</v>
      </c>
      <c r="CX15" s="150">
        <f t="shared" si="38"/>
        <v>0</v>
      </c>
      <c r="CY15" s="150"/>
      <c r="CZ15" s="150"/>
      <c r="DA15" s="150">
        <f t="shared" si="39"/>
        <v>121.42</v>
      </c>
      <c r="DB15" s="150">
        <f t="shared" si="40"/>
        <v>0</v>
      </c>
      <c r="DC15" s="150">
        <v>121.42</v>
      </c>
      <c r="DD15" s="150">
        <v>0</v>
      </c>
      <c r="DE15" s="150">
        <f t="shared" si="41"/>
        <v>0</v>
      </c>
      <c r="DF15" s="150">
        <f t="shared" si="42"/>
        <v>0</v>
      </c>
      <c r="DG15" s="150">
        <f>ROUND(0.25*(MIN(CU15,DO15)),2)</f>
        <v>30.36</v>
      </c>
      <c r="DH15" s="150">
        <f>ROUND(0.25*(MIN(CV15,DP15)),2)</f>
        <v>0</v>
      </c>
      <c r="DI15" s="150">
        <f>+DG15-DE15-30.36</f>
        <v>0</v>
      </c>
      <c r="DJ15" s="150">
        <f>+DH15-DF15</f>
        <v>0</v>
      </c>
      <c r="DK15" s="104">
        <f>+DO15-DA15-DI15</f>
        <v>158.57999999999998</v>
      </c>
      <c r="DL15" s="104">
        <f>+DP15-DB15-DJ15</f>
        <v>0</v>
      </c>
      <c r="DM15" s="104">
        <f t="shared" si="2"/>
        <v>0</v>
      </c>
      <c r="DN15" s="104">
        <f t="shared" si="3"/>
        <v>0</v>
      </c>
      <c r="DO15" s="104">
        <v>280</v>
      </c>
      <c r="DP15" s="104">
        <v>0</v>
      </c>
      <c r="DQ15" s="104">
        <v>398.1</v>
      </c>
      <c r="DR15" s="104">
        <v>0</v>
      </c>
    </row>
    <row r="16" spans="1:124" ht="18.75">
      <c r="A16" s="18"/>
      <c r="B16" s="18" t="s">
        <v>27</v>
      </c>
      <c r="C16" s="19" t="s">
        <v>28</v>
      </c>
      <c r="D16" s="20" t="s">
        <v>25</v>
      </c>
      <c r="E16" s="21" t="s">
        <v>29</v>
      </c>
      <c r="F16" s="22">
        <v>2172.0300000000002</v>
      </c>
      <c r="G16" s="22">
        <v>2564.23</v>
      </c>
      <c r="H16" s="22">
        <v>2172.0300000000002</v>
      </c>
      <c r="I16" s="22">
        <v>2644.23</v>
      </c>
      <c r="J16" s="88">
        <f t="shared" ref="J16:AA16" si="55">+J14+J15</f>
        <v>2593.3000000000002</v>
      </c>
      <c r="K16" s="88">
        <f t="shared" si="55"/>
        <v>0</v>
      </c>
      <c r="L16" s="88">
        <f t="shared" si="55"/>
        <v>0</v>
      </c>
      <c r="M16" s="88">
        <f t="shared" si="55"/>
        <v>2593.3000000000002</v>
      </c>
      <c r="N16" s="88">
        <f t="shared" si="55"/>
        <v>0</v>
      </c>
      <c r="O16" s="88">
        <f t="shared" si="55"/>
        <v>0</v>
      </c>
      <c r="P16" s="88">
        <f t="shared" si="55"/>
        <v>0</v>
      </c>
      <c r="Q16" s="88">
        <f t="shared" si="55"/>
        <v>0</v>
      </c>
      <c r="R16" s="88">
        <f t="shared" si="55"/>
        <v>2593.3000000000002</v>
      </c>
      <c r="S16" s="88">
        <f t="shared" si="55"/>
        <v>2742</v>
      </c>
      <c r="T16" s="88">
        <f t="shared" si="55"/>
        <v>0</v>
      </c>
      <c r="U16" s="88">
        <f t="shared" si="55"/>
        <v>0</v>
      </c>
      <c r="V16" s="88">
        <f t="shared" si="55"/>
        <v>2298.65</v>
      </c>
      <c r="W16" s="88">
        <f t="shared" si="55"/>
        <v>2730.7</v>
      </c>
      <c r="X16" s="88">
        <f t="shared" si="55"/>
        <v>294.65000000000003</v>
      </c>
      <c r="Y16" s="88">
        <f t="shared" si="55"/>
        <v>11.300000000000182</v>
      </c>
      <c r="Z16" s="88">
        <f t="shared" si="55"/>
        <v>2298.65</v>
      </c>
      <c r="AA16" s="88">
        <f t="shared" si="55"/>
        <v>0</v>
      </c>
      <c r="AB16" s="22">
        <f t="shared" si="6"/>
        <v>2298.65</v>
      </c>
      <c r="AC16" s="109">
        <f t="shared" si="7"/>
        <v>0</v>
      </c>
      <c r="AD16" s="22">
        <f t="shared" ref="AD16:CP16" si="56">+AD14+AD15</f>
        <v>2298.65</v>
      </c>
      <c r="AE16" s="22">
        <f t="shared" si="56"/>
        <v>2730.7</v>
      </c>
      <c r="AF16" s="22">
        <f t="shared" si="56"/>
        <v>2473.83</v>
      </c>
      <c r="AG16" s="22">
        <f t="shared" si="56"/>
        <v>574</v>
      </c>
      <c r="AH16" s="22">
        <f t="shared" si="56"/>
        <v>683</v>
      </c>
      <c r="AI16" s="118">
        <f t="shared" si="56"/>
        <v>191</v>
      </c>
      <c r="AJ16" s="22">
        <f t="shared" si="56"/>
        <v>228</v>
      </c>
      <c r="AK16" s="22">
        <f t="shared" si="56"/>
        <v>0</v>
      </c>
      <c r="AL16" s="22">
        <f t="shared" si="56"/>
        <v>0</v>
      </c>
      <c r="AM16" s="22">
        <f t="shared" si="56"/>
        <v>574.66000000000008</v>
      </c>
      <c r="AN16" s="22">
        <f t="shared" si="56"/>
        <v>664.93</v>
      </c>
      <c r="AO16" s="22">
        <f t="shared" si="56"/>
        <v>0</v>
      </c>
      <c r="AP16" s="22">
        <f t="shared" si="56"/>
        <v>0</v>
      </c>
      <c r="AQ16" s="22">
        <f t="shared" si="56"/>
        <v>1148.6600000000001</v>
      </c>
      <c r="AR16" s="22">
        <f t="shared" si="56"/>
        <v>1347.9299999999998</v>
      </c>
      <c r="AS16" s="22">
        <f t="shared" si="56"/>
        <v>0</v>
      </c>
      <c r="AT16" s="22">
        <f t="shared" si="56"/>
        <v>0</v>
      </c>
      <c r="AU16" s="22">
        <f t="shared" si="56"/>
        <v>574.66000000000008</v>
      </c>
      <c r="AV16" s="22">
        <f t="shared" si="56"/>
        <v>582.67999999999995</v>
      </c>
      <c r="AW16" s="22">
        <f t="shared" si="56"/>
        <v>0</v>
      </c>
      <c r="AX16" s="22">
        <f t="shared" si="56"/>
        <v>0</v>
      </c>
      <c r="AY16" s="22">
        <f t="shared" si="56"/>
        <v>1914.3200000000002</v>
      </c>
      <c r="AZ16" s="22">
        <f t="shared" si="56"/>
        <v>2158.6099999999997</v>
      </c>
      <c r="BA16" s="22">
        <f t="shared" si="56"/>
        <v>4072.93</v>
      </c>
      <c r="BB16" s="22">
        <f t="shared" si="56"/>
        <v>1746.0700000000002</v>
      </c>
      <c r="BC16" s="22">
        <f t="shared" si="56"/>
        <v>2164.38</v>
      </c>
      <c r="BD16" s="22">
        <f t="shared" si="56"/>
        <v>168.25</v>
      </c>
      <c r="BE16" s="22">
        <f t="shared" si="56"/>
        <v>-5.7700000000004366</v>
      </c>
      <c r="BF16" s="22">
        <f t="shared" si="56"/>
        <v>349.21999999999997</v>
      </c>
      <c r="BG16" s="118">
        <f t="shared" si="56"/>
        <v>432.88</v>
      </c>
      <c r="BH16" s="118">
        <f t="shared" si="56"/>
        <v>90.49</v>
      </c>
      <c r="BI16" s="118">
        <f t="shared" si="56"/>
        <v>265.33</v>
      </c>
      <c r="BJ16" s="118">
        <f t="shared" si="56"/>
        <v>0</v>
      </c>
      <c r="BK16" s="118">
        <f t="shared" si="56"/>
        <v>0</v>
      </c>
      <c r="BL16" s="118">
        <f t="shared" si="56"/>
        <v>2004.8100000000002</v>
      </c>
      <c r="BM16" s="118">
        <f t="shared" si="56"/>
        <v>2423.9399999999996</v>
      </c>
      <c r="BN16" s="118">
        <f t="shared" si="56"/>
        <v>4428.75</v>
      </c>
      <c r="BO16" s="118">
        <f t="shared" si="56"/>
        <v>1909.77</v>
      </c>
      <c r="BP16" s="118">
        <f t="shared" si="56"/>
        <v>2561.33</v>
      </c>
      <c r="BQ16" s="22">
        <f t="shared" si="56"/>
        <v>95.040000000000248</v>
      </c>
      <c r="BR16" s="22">
        <f t="shared" si="56"/>
        <v>-137.39000000000033</v>
      </c>
      <c r="BS16" s="22">
        <f t="shared" si="56"/>
        <v>173.62</v>
      </c>
      <c r="BT16" s="22">
        <f t="shared" si="56"/>
        <v>232.85</v>
      </c>
      <c r="BU16" s="22">
        <f t="shared" si="56"/>
        <v>102</v>
      </c>
      <c r="BV16" s="22">
        <f t="shared" si="56"/>
        <v>280</v>
      </c>
      <c r="BW16" s="22">
        <f t="shared" si="56"/>
        <v>112.81</v>
      </c>
      <c r="BX16" s="22">
        <f t="shared" si="56"/>
        <v>0</v>
      </c>
      <c r="BY16" s="22">
        <f t="shared" si="56"/>
        <v>0</v>
      </c>
      <c r="BZ16" s="22">
        <f t="shared" si="56"/>
        <v>0</v>
      </c>
      <c r="CA16" s="22">
        <f t="shared" si="56"/>
        <v>2219.6200000000003</v>
      </c>
      <c r="CB16" s="22">
        <f t="shared" si="56"/>
        <v>2703.9399999999996</v>
      </c>
      <c r="CC16" s="22">
        <f t="shared" si="56"/>
        <v>2441.58</v>
      </c>
      <c r="CD16" s="118">
        <f t="shared" si="56"/>
        <v>3109.53</v>
      </c>
      <c r="CE16" s="190">
        <f t="shared" si="56"/>
        <v>204</v>
      </c>
      <c r="CF16" s="190">
        <f t="shared" si="56"/>
        <v>259</v>
      </c>
      <c r="CG16" s="190">
        <f t="shared" si="56"/>
        <v>554.91</v>
      </c>
      <c r="CH16" s="190">
        <f t="shared" si="56"/>
        <v>675.99</v>
      </c>
      <c r="CI16" s="190">
        <f t="shared" si="56"/>
        <v>0</v>
      </c>
      <c r="CJ16" s="190">
        <f t="shared" si="56"/>
        <v>0</v>
      </c>
      <c r="CK16" s="190">
        <f t="shared" si="56"/>
        <v>545</v>
      </c>
      <c r="CL16" s="190">
        <f t="shared" si="56"/>
        <v>700</v>
      </c>
      <c r="CM16" s="190">
        <f t="shared" si="56"/>
        <v>0</v>
      </c>
      <c r="CN16" s="190">
        <f t="shared" si="56"/>
        <v>0</v>
      </c>
      <c r="CO16" s="190">
        <f t="shared" si="56"/>
        <v>2021.42</v>
      </c>
      <c r="CP16" s="190">
        <f t="shared" si="56"/>
        <v>2800</v>
      </c>
      <c r="CQ16" s="190">
        <f t="shared" ref="CQ16:DQ16" si="57">+CQ14+CQ15</f>
        <v>2180</v>
      </c>
      <c r="CR16" s="190">
        <f t="shared" si="57"/>
        <v>2800</v>
      </c>
      <c r="CS16" s="190">
        <f t="shared" si="57"/>
        <v>2021.42</v>
      </c>
      <c r="CT16" s="190">
        <f t="shared" si="57"/>
        <v>2800</v>
      </c>
      <c r="CU16" s="190">
        <f t="shared" si="57"/>
        <v>2021.42</v>
      </c>
      <c r="CV16" s="190">
        <f t="shared" si="57"/>
        <v>2800</v>
      </c>
      <c r="CW16" s="190">
        <f t="shared" si="57"/>
        <v>500.42</v>
      </c>
      <c r="CX16" s="190">
        <f t="shared" si="57"/>
        <v>700</v>
      </c>
      <c r="CY16" s="190">
        <f t="shared" si="57"/>
        <v>0</v>
      </c>
      <c r="CZ16" s="190">
        <f t="shared" si="57"/>
        <v>0</v>
      </c>
      <c r="DA16" s="190">
        <f t="shared" si="57"/>
        <v>1249.42</v>
      </c>
      <c r="DB16" s="190">
        <f t="shared" si="57"/>
        <v>1659</v>
      </c>
      <c r="DC16" s="190">
        <f t="shared" si="57"/>
        <v>1288.1600000000001</v>
      </c>
      <c r="DD16" s="190">
        <f t="shared" si="57"/>
        <v>1873.07</v>
      </c>
      <c r="DE16" s="190">
        <f t="shared" si="57"/>
        <v>-38.740000000000009</v>
      </c>
      <c r="DF16" s="190">
        <f t="shared" si="57"/>
        <v>-214.06999999999994</v>
      </c>
      <c r="DG16" s="190">
        <f t="shared" si="57"/>
        <v>505.36</v>
      </c>
      <c r="DH16" s="190">
        <f t="shared" si="57"/>
        <v>700</v>
      </c>
      <c r="DI16" s="190">
        <f t="shared" si="57"/>
        <v>513.74</v>
      </c>
      <c r="DJ16" s="190">
        <f t="shared" si="57"/>
        <v>914.06999999999994</v>
      </c>
      <c r="DK16" s="186">
        <f t="shared" si="57"/>
        <v>566.83999999999992</v>
      </c>
      <c r="DL16" s="22">
        <f t="shared" si="57"/>
        <v>626.93000000000006</v>
      </c>
      <c r="DM16" s="104">
        <f t="shared" si="2"/>
        <v>258.26</v>
      </c>
      <c r="DN16" s="104">
        <f t="shared" si="3"/>
        <v>226.93000000000006</v>
      </c>
      <c r="DO16" s="22">
        <f t="shared" si="57"/>
        <v>2330</v>
      </c>
      <c r="DP16" s="22">
        <f t="shared" si="57"/>
        <v>3200</v>
      </c>
      <c r="DQ16" s="22">
        <f t="shared" si="57"/>
        <v>2583.1</v>
      </c>
      <c r="DR16" s="22">
        <f t="shared" ref="DR16" si="58">+DR14+DR15</f>
        <v>3320</v>
      </c>
    </row>
    <row r="17" spans="1:124" ht="18.75">
      <c r="A17" s="13">
        <v>9</v>
      </c>
      <c r="B17" s="13"/>
      <c r="C17" s="14"/>
      <c r="D17" s="15" t="s">
        <v>30</v>
      </c>
      <c r="E17" s="16"/>
      <c r="F17" s="81">
        <v>21584.51</v>
      </c>
      <c r="G17" s="81">
        <v>18901.61</v>
      </c>
      <c r="H17" s="81">
        <v>21709.51</v>
      </c>
      <c r="I17" s="17">
        <v>18901.61</v>
      </c>
      <c r="J17" s="86">
        <v>23200</v>
      </c>
      <c r="K17" s="87">
        <v>0</v>
      </c>
      <c r="L17" s="87">
        <v>0</v>
      </c>
      <c r="M17" s="87">
        <f>J17+K17+L17</f>
        <v>23200</v>
      </c>
      <c r="N17" s="87">
        <v>0</v>
      </c>
      <c r="O17" s="87">
        <v>0</v>
      </c>
      <c r="P17" s="87">
        <v>0</v>
      </c>
      <c r="Q17" s="87">
        <f>N17+O17+P17</f>
        <v>0</v>
      </c>
      <c r="R17" s="87">
        <f>Q17+M17</f>
        <v>23200</v>
      </c>
      <c r="S17" s="87">
        <v>21000</v>
      </c>
      <c r="V17" s="17">
        <f>ROUND(H17*1.0583,2)</f>
        <v>22975.17</v>
      </c>
      <c r="W17" s="17">
        <f>ROUND(I17*1.0327,2)</f>
        <v>19519.689999999999</v>
      </c>
      <c r="X17" s="108">
        <f t="shared" si="4"/>
        <v>224.83000000000175</v>
      </c>
      <c r="Y17" s="108">
        <f t="shared" si="5"/>
        <v>1480.3100000000013</v>
      </c>
      <c r="Z17" s="108">
        <v>22975.17</v>
      </c>
      <c r="AA17" s="108"/>
      <c r="AB17" s="108">
        <f t="shared" si="6"/>
        <v>22975.17</v>
      </c>
      <c r="AC17" s="109">
        <f t="shared" si="7"/>
        <v>0</v>
      </c>
      <c r="AD17" s="108">
        <f>IF(X17&gt;0,V17,R17)</f>
        <v>22975.17</v>
      </c>
      <c r="AE17" s="108">
        <f>IF(Y17&gt;0,W17,S17)+500</f>
        <v>20019.689999999999</v>
      </c>
      <c r="AF17" s="108">
        <f t="shared" si="8"/>
        <v>18946.2</v>
      </c>
      <c r="AG17" s="108">
        <f t="shared" si="9"/>
        <v>5744</v>
      </c>
      <c r="AH17" s="108">
        <f t="shared" si="46"/>
        <v>5005</v>
      </c>
      <c r="AI17" s="127">
        <f t="shared" si="10"/>
        <v>1915</v>
      </c>
      <c r="AJ17" s="108">
        <f t="shared" si="11"/>
        <v>1668</v>
      </c>
      <c r="AM17" s="108">
        <f t="shared" si="12"/>
        <v>5743.79</v>
      </c>
      <c r="AN17" s="108">
        <f>ROUND(AE17*24.35%,2)</f>
        <v>4874.79</v>
      </c>
      <c r="AQ17" s="116">
        <f t="shared" si="14"/>
        <v>11487.79</v>
      </c>
      <c r="AR17" s="116">
        <f t="shared" si="15"/>
        <v>9879.7900000000009</v>
      </c>
      <c r="AS17" s="143">
        <v>300</v>
      </c>
      <c r="AT17" s="116"/>
      <c r="AU17" s="116">
        <f>ROUND(AD17*25%,2)+756.21</f>
        <v>6500</v>
      </c>
      <c r="AV17" s="116">
        <f>ROUND(AE17*25%,2)+1995.08</f>
        <v>7000</v>
      </c>
      <c r="AW17" s="116"/>
      <c r="AX17" s="116"/>
      <c r="AY17" s="108">
        <f t="shared" si="17"/>
        <v>20202.79</v>
      </c>
      <c r="AZ17" s="108">
        <f t="shared" si="18"/>
        <v>18547.79</v>
      </c>
      <c r="BA17" s="108">
        <f t="shared" si="19"/>
        <v>38750.58</v>
      </c>
      <c r="BB17" s="139">
        <v>19212.52</v>
      </c>
      <c r="BC17" s="139">
        <v>18544.14</v>
      </c>
      <c r="BD17" s="139">
        <f t="shared" si="20"/>
        <v>990.27000000000044</v>
      </c>
      <c r="BE17" s="139">
        <f t="shared" si="21"/>
        <v>3.6500000000014552</v>
      </c>
      <c r="BF17" s="139">
        <f t="shared" si="22"/>
        <v>3842.5</v>
      </c>
      <c r="BG17" s="139">
        <f t="shared" si="23"/>
        <v>3708.83</v>
      </c>
      <c r="BH17" s="108">
        <v>2450</v>
      </c>
      <c r="BI17" s="108">
        <v>2000</v>
      </c>
      <c r="BL17" s="108">
        <f t="shared" si="1"/>
        <v>22652.79</v>
      </c>
      <c r="BM17" s="108">
        <f t="shared" si="24"/>
        <v>20547.79</v>
      </c>
      <c r="BN17" s="108">
        <f t="shared" si="25"/>
        <v>43200.58</v>
      </c>
      <c r="BO17" s="108">
        <v>21397.05</v>
      </c>
      <c r="BP17" s="127">
        <v>20023.29</v>
      </c>
      <c r="BQ17" s="108">
        <f t="shared" si="26"/>
        <v>1255.7400000000016</v>
      </c>
      <c r="BR17" s="108">
        <f t="shared" si="27"/>
        <v>524.5</v>
      </c>
      <c r="BS17" s="108">
        <f t="shared" si="28"/>
        <v>1945.19</v>
      </c>
      <c r="BT17" s="108">
        <f t="shared" si="29"/>
        <v>1820.3</v>
      </c>
      <c r="BU17" s="108">
        <f>ROUND(BS17-BQ17,2)-1.36-2.65</f>
        <v>685.44</v>
      </c>
      <c r="BV17" s="143">
        <f>ROUND(BT17-BR17,2)-50</f>
        <v>1245.8</v>
      </c>
      <c r="BW17" s="109">
        <v>1000</v>
      </c>
      <c r="BX17" s="143">
        <v>404</v>
      </c>
      <c r="BY17" s="143"/>
      <c r="BZ17" s="143"/>
      <c r="CA17" s="108">
        <v>24338.23</v>
      </c>
      <c r="CB17" s="108">
        <v>22197.59</v>
      </c>
      <c r="CC17">
        <v>26772.05</v>
      </c>
      <c r="CD17">
        <v>25527.23</v>
      </c>
      <c r="CE17" s="189">
        <v>2231</v>
      </c>
      <c r="CF17" s="189">
        <v>2127</v>
      </c>
      <c r="CG17" s="189">
        <f t="shared" si="31"/>
        <v>6084.56</v>
      </c>
      <c r="CH17" s="189">
        <f t="shared" si="32"/>
        <v>5549.4</v>
      </c>
      <c r="CI17" s="150"/>
      <c r="CJ17" s="150"/>
      <c r="CK17" s="150">
        <v>6200</v>
      </c>
      <c r="CL17" s="150">
        <f>6400-900</f>
        <v>5500</v>
      </c>
      <c r="CM17" s="150"/>
      <c r="CN17" s="150"/>
      <c r="CO17" s="150">
        <v>32165</v>
      </c>
      <c r="CP17" s="150">
        <v>23023</v>
      </c>
      <c r="CQ17" s="150">
        <f t="shared" si="33"/>
        <v>24800</v>
      </c>
      <c r="CR17" s="150">
        <f t="shared" si="34"/>
        <v>22000</v>
      </c>
      <c r="CS17" s="150">
        <f t="shared" si="35"/>
        <v>24800</v>
      </c>
      <c r="CT17" s="150">
        <f t="shared" si="36"/>
        <v>22000</v>
      </c>
      <c r="CU17" s="150">
        <v>24800</v>
      </c>
      <c r="CV17" s="150">
        <v>22000</v>
      </c>
      <c r="CW17" s="150">
        <f t="shared" si="37"/>
        <v>6200</v>
      </c>
      <c r="CX17" s="150">
        <f t="shared" si="38"/>
        <v>5500</v>
      </c>
      <c r="CY17" s="150"/>
      <c r="CZ17" s="150">
        <v>250</v>
      </c>
      <c r="DA17" s="150">
        <f t="shared" si="39"/>
        <v>14631</v>
      </c>
      <c r="DB17" s="150">
        <f t="shared" si="40"/>
        <v>13377</v>
      </c>
      <c r="DC17" s="150">
        <v>13446.5</v>
      </c>
      <c r="DD17" s="150">
        <v>13408.74</v>
      </c>
      <c r="DE17" s="150">
        <f t="shared" si="41"/>
        <v>1184.5</v>
      </c>
      <c r="DF17" s="150">
        <f t="shared" si="42"/>
        <v>-31.739999999999782</v>
      </c>
      <c r="DG17" s="150">
        <f t="shared" ref="DG17:DH23" si="59">ROUND(0.25*(MIN(CU17,DO17)),2)</f>
        <v>6200</v>
      </c>
      <c r="DH17" s="150">
        <f t="shared" si="59"/>
        <v>5500</v>
      </c>
      <c r="DI17" s="150">
        <f t="shared" ref="DI17:DJ23" si="60">+DG17-DE17</f>
        <v>5015.5</v>
      </c>
      <c r="DJ17" s="150">
        <f t="shared" si="60"/>
        <v>5531.74</v>
      </c>
      <c r="DK17" s="104">
        <f t="shared" ref="DK17:DL23" si="61">+DO17-DA17-DI17</f>
        <v>6353.5</v>
      </c>
      <c r="DL17" s="104">
        <f t="shared" si="61"/>
        <v>5091.26</v>
      </c>
      <c r="DM17" s="104">
        <f t="shared" si="2"/>
        <v>5153.5</v>
      </c>
      <c r="DN17" s="104">
        <f t="shared" si="3"/>
        <v>3091.26</v>
      </c>
      <c r="DO17" s="104">
        <v>26000</v>
      </c>
      <c r="DP17" s="104">
        <v>24000</v>
      </c>
      <c r="DQ17" s="104">
        <v>29000</v>
      </c>
      <c r="DR17" s="104">
        <v>25000</v>
      </c>
    </row>
    <row r="18" spans="1:124" ht="18.75">
      <c r="A18" s="13">
        <v>10</v>
      </c>
      <c r="B18" s="13"/>
      <c r="C18" s="14"/>
      <c r="D18" s="15" t="s">
        <v>31</v>
      </c>
      <c r="E18" s="16"/>
      <c r="F18" s="81">
        <v>387.7</v>
      </c>
      <c r="G18" s="81">
        <v>0</v>
      </c>
      <c r="H18" s="81">
        <v>387.7</v>
      </c>
      <c r="I18" s="17">
        <v>0</v>
      </c>
      <c r="J18" s="86">
        <v>517.16999999999996</v>
      </c>
      <c r="K18" s="87">
        <v>0</v>
      </c>
      <c r="L18" s="87">
        <v>0</v>
      </c>
      <c r="M18" s="87">
        <f>J18+K18+L18</f>
        <v>517.16999999999996</v>
      </c>
      <c r="N18" s="87">
        <v>0</v>
      </c>
      <c r="O18" s="87">
        <v>0</v>
      </c>
      <c r="P18" s="87">
        <v>0</v>
      </c>
      <c r="Q18" s="87">
        <f t="shared" ref="Q18:Q25" si="62">N18+O18+P18</f>
        <v>0</v>
      </c>
      <c r="R18" s="87">
        <f t="shared" ref="R18:R35" si="63">Q18+M18</f>
        <v>517.16999999999996</v>
      </c>
      <c r="S18" s="87">
        <v>0</v>
      </c>
      <c r="V18" s="17">
        <f>ROUND(H18*1.0583,2)</f>
        <v>410.3</v>
      </c>
      <c r="W18" s="17">
        <f>ROUND(I18*1.0327,2)</f>
        <v>0</v>
      </c>
      <c r="X18" s="108">
        <f t="shared" si="4"/>
        <v>106.86999999999995</v>
      </c>
      <c r="Y18" s="108">
        <f t="shared" si="5"/>
        <v>0</v>
      </c>
      <c r="Z18" s="108">
        <v>410.3</v>
      </c>
      <c r="AA18" s="108"/>
      <c r="AB18" s="108">
        <f t="shared" si="6"/>
        <v>410.3</v>
      </c>
      <c r="AC18" s="109">
        <f t="shared" si="7"/>
        <v>0</v>
      </c>
      <c r="AD18" s="108">
        <f>IF(X18&gt;0,V18,R18)</f>
        <v>410.3</v>
      </c>
      <c r="AE18" s="108">
        <f>IF(Y18&gt;0,W18,S18)</f>
        <v>0</v>
      </c>
      <c r="AF18" s="108">
        <f t="shared" si="8"/>
        <v>0</v>
      </c>
      <c r="AG18" s="108">
        <f t="shared" si="9"/>
        <v>103</v>
      </c>
      <c r="AH18" s="108">
        <f t="shared" si="46"/>
        <v>0</v>
      </c>
      <c r="AI18" s="127">
        <f t="shared" si="10"/>
        <v>34</v>
      </c>
      <c r="AJ18" s="108">
        <f t="shared" si="11"/>
        <v>0</v>
      </c>
      <c r="AM18" s="108">
        <f t="shared" si="12"/>
        <v>102.58</v>
      </c>
      <c r="AN18" s="108">
        <f t="shared" si="13"/>
        <v>0</v>
      </c>
      <c r="AQ18" s="116">
        <f t="shared" si="14"/>
        <v>205.57999999999998</v>
      </c>
      <c r="AR18" s="116">
        <f t="shared" si="15"/>
        <v>0</v>
      </c>
      <c r="AS18" s="116"/>
      <c r="AT18" s="116"/>
      <c r="AU18" s="116">
        <f t="shared" si="0"/>
        <v>102.58</v>
      </c>
      <c r="AV18" s="116">
        <f t="shared" si="16"/>
        <v>0</v>
      </c>
      <c r="AW18" s="116"/>
      <c r="AX18" s="116"/>
      <c r="AY18" s="108">
        <f t="shared" si="17"/>
        <v>342.15999999999997</v>
      </c>
      <c r="AZ18" s="108">
        <f t="shared" si="18"/>
        <v>0</v>
      </c>
      <c r="BA18" s="108">
        <f t="shared" si="19"/>
        <v>342.15999999999997</v>
      </c>
      <c r="BB18" s="139">
        <v>239.58</v>
      </c>
      <c r="BD18" s="139">
        <f t="shared" si="20"/>
        <v>102.57999999999996</v>
      </c>
      <c r="BE18" s="139">
        <f t="shared" si="21"/>
        <v>0</v>
      </c>
      <c r="BF18" s="139">
        <f t="shared" si="22"/>
        <v>47.92</v>
      </c>
      <c r="BG18" s="139">
        <f t="shared" si="23"/>
        <v>0</v>
      </c>
      <c r="BH18" s="108">
        <v>0</v>
      </c>
      <c r="BI18" s="108">
        <v>0</v>
      </c>
      <c r="BL18" s="108">
        <f t="shared" si="1"/>
        <v>342.15999999999997</v>
      </c>
      <c r="BM18" s="108">
        <f t="shared" si="24"/>
        <v>0</v>
      </c>
      <c r="BN18" s="108">
        <f t="shared" si="25"/>
        <v>342.15999999999997</v>
      </c>
      <c r="BO18" s="108">
        <v>342.16</v>
      </c>
      <c r="BP18" s="127"/>
      <c r="BQ18" s="108">
        <f t="shared" si="26"/>
        <v>0</v>
      </c>
      <c r="BR18" s="108">
        <f t="shared" si="27"/>
        <v>0</v>
      </c>
      <c r="BS18" s="108">
        <f t="shared" si="28"/>
        <v>31.11</v>
      </c>
      <c r="BT18" s="108">
        <f t="shared" si="29"/>
        <v>0</v>
      </c>
      <c r="BU18" s="108">
        <f t="shared" ref="BU18:BU23" si="64">ROUND(BS18-BQ18,2)</f>
        <v>31.11</v>
      </c>
      <c r="BV18" s="108">
        <f t="shared" ref="BV18:BV28" si="65">ROUND(BT18-BR18,2)</f>
        <v>0</v>
      </c>
      <c r="BW18" s="109"/>
      <c r="CA18" s="108">
        <v>373.27</v>
      </c>
      <c r="CB18" s="108">
        <v>0</v>
      </c>
      <c r="CC18">
        <v>410.6</v>
      </c>
      <c r="CD18">
        <v>0</v>
      </c>
      <c r="CE18" s="189">
        <v>34</v>
      </c>
      <c r="CF18" s="189">
        <v>0</v>
      </c>
      <c r="CG18" s="189">
        <f t="shared" si="31"/>
        <v>93.32</v>
      </c>
      <c r="CH18" s="189">
        <f t="shared" si="32"/>
        <v>0</v>
      </c>
      <c r="CI18" s="150"/>
      <c r="CJ18" s="150"/>
      <c r="CK18" s="150">
        <v>100</v>
      </c>
      <c r="CL18" s="150">
        <v>0</v>
      </c>
      <c r="CM18" s="150"/>
      <c r="CN18" s="150"/>
      <c r="CO18" s="150">
        <v>555.36</v>
      </c>
      <c r="CP18" s="150"/>
      <c r="CQ18" s="150">
        <f t="shared" si="33"/>
        <v>400</v>
      </c>
      <c r="CR18" s="150">
        <f t="shared" si="34"/>
        <v>0</v>
      </c>
      <c r="CS18" s="150">
        <f t="shared" si="35"/>
        <v>400</v>
      </c>
      <c r="CT18" s="150">
        <f t="shared" si="36"/>
        <v>0</v>
      </c>
      <c r="CU18" s="150">
        <v>400</v>
      </c>
      <c r="CV18" s="150">
        <v>0</v>
      </c>
      <c r="CW18" s="150">
        <f t="shared" si="37"/>
        <v>100</v>
      </c>
      <c r="CX18" s="150">
        <f t="shared" si="38"/>
        <v>0</v>
      </c>
      <c r="CY18" s="150"/>
      <c r="CZ18" s="150"/>
      <c r="DA18" s="150">
        <f t="shared" si="39"/>
        <v>234</v>
      </c>
      <c r="DB18" s="150">
        <f t="shared" si="40"/>
        <v>0</v>
      </c>
      <c r="DC18" s="150">
        <v>234</v>
      </c>
      <c r="DD18" s="150">
        <v>0</v>
      </c>
      <c r="DE18" s="150">
        <f t="shared" si="41"/>
        <v>0</v>
      </c>
      <c r="DF18" s="150">
        <f t="shared" si="42"/>
        <v>0</v>
      </c>
      <c r="DG18" s="150">
        <f t="shared" si="59"/>
        <v>100</v>
      </c>
      <c r="DH18" s="150">
        <f t="shared" si="59"/>
        <v>0</v>
      </c>
      <c r="DI18" s="150">
        <f t="shared" si="60"/>
        <v>100</v>
      </c>
      <c r="DJ18" s="150">
        <f t="shared" si="60"/>
        <v>0</v>
      </c>
      <c r="DK18" s="104">
        <f t="shared" si="61"/>
        <v>66</v>
      </c>
      <c r="DL18" s="104">
        <f t="shared" si="61"/>
        <v>0</v>
      </c>
      <c r="DM18" s="104">
        <f t="shared" si="2"/>
        <v>66</v>
      </c>
      <c r="DN18" s="104">
        <f t="shared" si="3"/>
        <v>0</v>
      </c>
      <c r="DO18" s="104">
        <v>400</v>
      </c>
      <c r="DQ18" s="104">
        <v>722.87</v>
      </c>
    </row>
    <row r="19" spans="1:124" ht="18.75">
      <c r="A19" s="13">
        <v>11</v>
      </c>
      <c r="B19" s="13"/>
      <c r="C19" s="14"/>
      <c r="D19" s="15" t="s">
        <v>32</v>
      </c>
      <c r="E19" s="16"/>
      <c r="F19" s="81">
        <v>135.15</v>
      </c>
      <c r="G19" s="81">
        <v>0</v>
      </c>
      <c r="H19" s="81">
        <v>169.15</v>
      </c>
      <c r="I19" s="17">
        <v>0</v>
      </c>
      <c r="J19" s="86">
        <v>140</v>
      </c>
      <c r="K19" s="87">
        <v>0</v>
      </c>
      <c r="L19" s="87">
        <v>0</v>
      </c>
      <c r="M19" s="87">
        <f t="shared" ref="M19:M35" si="66">J19+K19+L19</f>
        <v>140</v>
      </c>
      <c r="N19" s="87">
        <v>46.48</v>
      </c>
      <c r="O19" s="87">
        <v>0</v>
      </c>
      <c r="P19" s="87">
        <v>0</v>
      </c>
      <c r="Q19" s="87">
        <f t="shared" si="62"/>
        <v>46.48</v>
      </c>
      <c r="R19" s="87">
        <f t="shared" si="63"/>
        <v>186.48</v>
      </c>
      <c r="S19" s="87">
        <v>0</v>
      </c>
      <c r="V19" s="17">
        <f t="shared" ref="V19:V23" si="67">ROUND(H19*1.0583,2)</f>
        <v>179.01</v>
      </c>
      <c r="W19" s="17">
        <f t="shared" ref="W19:W23" si="68">ROUND(I19*1.0327,2)</f>
        <v>0</v>
      </c>
      <c r="X19" s="108">
        <f t="shared" si="4"/>
        <v>7.4699999999999989</v>
      </c>
      <c r="Y19" s="108">
        <f t="shared" si="5"/>
        <v>0</v>
      </c>
      <c r="Z19" s="108">
        <v>139.01</v>
      </c>
      <c r="AA19" s="108">
        <v>40</v>
      </c>
      <c r="AB19" s="108">
        <f t="shared" si="6"/>
        <v>179.01</v>
      </c>
      <c r="AC19" s="109">
        <f t="shared" si="7"/>
        <v>0</v>
      </c>
      <c r="AD19" s="108">
        <f t="shared" ref="AD19:AD23" si="69">IF(X19&gt;0,V19,R19)</f>
        <v>179.01</v>
      </c>
      <c r="AE19" s="108">
        <f t="shared" ref="AE19:AE23" si="70">IF(Y19&gt;0,W19,S19)</f>
        <v>0</v>
      </c>
      <c r="AF19" s="108">
        <f t="shared" si="8"/>
        <v>0</v>
      </c>
      <c r="AG19" s="108">
        <f t="shared" si="9"/>
        <v>45</v>
      </c>
      <c r="AH19" s="108">
        <f t="shared" si="46"/>
        <v>0</v>
      </c>
      <c r="AI19" s="127">
        <f t="shared" si="10"/>
        <v>15</v>
      </c>
      <c r="AJ19" s="108">
        <f t="shared" si="11"/>
        <v>0</v>
      </c>
      <c r="AM19" s="108">
        <f t="shared" si="12"/>
        <v>44.75</v>
      </c>
      <c r="AN19" s="108">
        <f t="shared" si="13"/>
        <v>0</v>
      </c>
      <c r="AQ19" s="116">
        <f t="shared" si="14"/>
        <v>89.75</v>
      </c>
      <c r="AR19" s="116">
        <f t="shared" si="15"/>
        <v>0</v>
      </c>
      <c r="AS19" s="116"/>
      <c r="AT19" s="116"/>
      <c r="AU19" s="116">
        <f t="shared" si="0"/>
        <v>44.75</v>
      </c>
      <c r="AV19" s="116">
        <f t="shared" si="16"/>
        <v>0</v>
      </c>
      <c r="AW19" s="116"/>
      <c r="AX19" s="116"/>
      <c r="AY19" s="108">
        <f t="shared" si="17"/>
        <v>149.5</v>
      </c>
      <c r="AZ19" s="108">
        <f t="shared" si="18"/>
        <v>0</v>
      </c>
      <c r="BA19" s="108">
        <f t="shared" si="19"/>
        <v>149.5</v>
      </c>
      <c r="BB19" s="139">
        <v>149.5</v>
      </c>
      <c r="BD19" s="139">
        <f t="shared" si="20"/>
        <v>0</v>
      </c>
      <c r="BE19" s="139">
        <f t="shared" si="21"/>
        <v>0</v>
      </c>
      <c r="BF19" s="139">
        <f t="shared" si="22"/>
        <v>29.9</v>
      </c>
      <c r="BG19" s="139">
        <f t="shared" si="23"/>
        <v>0</v>
      </c>
      <c r="BH19" s="108">
        <v>14.95</v>
      </c>
      <c r="BI19" s="108">
        <v>0</v>
      </c>
      <c r="BL19" s="108">
        <f t="shared" si="1"/>
        <v>164.45</v>
      </c>
      <c r="BM19" s="108">
        <f t="shared" si="24"/>
        <v>0</v>
      </c>
      <c r="BN19" s="108">
        <f t="shared" si="25"/>
        <v>164.45</v>
      </c>
      <c r="BO19" s="108">
        <v>149.5</v>
      </c>
      <c r="BP19" s="127"/>
      <c r="BQ19" s="108">
        <f t="shared" si="26"/>
        <v>14.949999999999989</v>
      </c>
      <c r="BR19" s="108">
        <f t="shared" si="27"/>
        <v>0</v>
      </c>
      <c r="BS19" s="108">
        <f t="shared" si="28"/>
        <v>13.59</v>
      </c>
      <c r="BT19" s="108">
        <f t="shared" si="29"/>
        <v>0</v>
      </c>
      <c r="BU19" s="108">
        <f>ROUND(BS19-BQ19,2)+1.36</f>
        <v>0</v>
      </c>
      <c r="BV19" s="108">
        <f t="shared" si="65"/>
        <v>0</v>
      </c>
      <c r="BW19" s="109">
        <v>40</v>
      </c>
      <c r="CA19" s="108">
        <v>204.45</v>
      </c>
      <c r="CB19" s="108">
        <v>0</v>
      </c>
      <c r="CC19">
        <v>224.9</v>
      </c>
      <c r="CD19">
        <v>0</v>
      </c>
      <c r="CE19" s="189">
        <v>19</v>
      </c>
      <c r="CF19" s="189">
        <v>0</v>
      </c>
      <c r="CG19" s="189">
        <f t="shared" si="31"/>
        <v>51.11</v>
      </c>
      <c r="CH19" s="189">
        <f t="shared" si="32"/>
        <v>0</v>
      </c>
      <c r="CI19" s="150"/>
      <c r="CJ19" s="150"/>
      <c r="CK19" s="150">
        <v>55</v>
      </c>
      <c r="CL19" s="150">
        <v>0</v>
      </c>
      <c r="CM19" s="150"/>
      <c r="CN19" s="150"/>
      <c r="CO19" s="150">
        <v>198</v>
      </c>
      <c r="CP19" s="150"/>
      <c r="CQ19" s="150">
        <f t="shared" si="33"/>
        <v>220</v>
      </c>
      <c r="CR19" s="150">
        <f t="shared" si="34"/>
        <v>0</v>
      </c>
      <c r="CS19" s="150">
        <f t="shared" si="35"/>
        <v>198</v>
      </c>
      <c r="CT19" s="150">
        <f t="shared" si="36"/>
        <v>0</v>
      </c>
      <c r="CU19" s="150">
        <f>198+91.41</f>
        <v>289.40999999999997</v>
      </c>
      <c r="CV19" s="150">
        <v>0</v>
      </c>
      <c r="CW19" s="150">
        <f>ROUND(CU19*25%,2)-22.85</f>
        <v>49.499999999999993</v>
      </c>
      <c r="CX19" s="150">
        <f t="shared" si="38"/>
        <v>0</v>
      </c>
      <c r="CY19" s="150"/>
      <c r="CZ19" s="150"/>
      <c r="DA19" s="150">
        <f t="shared" si="39"/>
        <v>123.5</v>
      </c>
      <c r="DB19" s="150">
        <f t="shared" si="40"/>
        <v>0</v>
      </c>
      <c r="DC19" s="150">
        <v>123.5</v>
      </c>
      <c r="DD19" s="150">
        <v>0</v>
      </c>
      <c r="DE19" s="150">
        <f t="shared" si="41"/>
        <v>0</v>
      </c>
      <c r="DF19" s="150">
        <f t="shared" si="42"/>
        <v>0</v>
      </c>
      <c r="DG19" s="150">
        <f t="shared" si="59"/>
        <v>72.349999999999994</v>
      </c>
      <c r="DH19" s="150">
        <f t="shared" si="59"/>
        <v>0</v>
      </c>
      <c r="DI19" s="150">
        <f t="shared" si="60"/>
        <v>72.349999999999994</v>
      </c>
      <c r="DJ19" s="150">
        <f t="shared" si="60"/>
        <v>0</v>
      </c>
      <c r="DK19" s="104">
        <f t="shared" si="61"/>
        <v>93.559999999999974</v>
      </c>
      <c r="DL19" s="104">
        <f t="shared" si="61"/>
        <v>0</v>
      </c>
      <c r="DM19" s="104">
        <f t="shared" si="2"/>
        <v>93.559999999999974</v>
      </c>
      <c r="DN19" s="104">
        <f t="shared" si="3"/>
        <v>0</v>
      </c>
      <c r="DO19" s="104">
        <f>58.15+231.26</f>
        <v>289.40999999999997</v>
      </c>
      <c r="DQ19" s="185">
        <f>29+199</f>
        <v>228</v>
      </c>
    </row>
    <row r="20" spans="1:124" ht="18.75">
      <c r="A20" s="13">
        <v>12</v>
      </c>
      <c r="B20" s="13"/>
      <c r="C20" s="14"/>
      <c r="D20" s="15" t="s">
        <v>33</v>
      </c>
      <c r="E20" s="16"/>
      <c r="F20" s="81">
        <v>0</v>
      </c>
      <c r="G20" s="81">
        <v>0</v>
      </c>
      <c r="H20" s="81">
        <v>0</v>
      </c>
      <c r="I20" s="17">
        <v>0</v>
      </c>
      <c r="J20" s="86">
        <v>0</v>
      </c>
      <c r="K20" s="87">
        <v>0</v>
      </c>
      <c r="L20" s="87">
        <v>0</v>
      </c>
      <c r="M20" s="87">
        <f t="shared" si="66"/>
        <v>0</v>
      </c>
      <c r="N20" s="87">
        <v>0</v>
      </c>
      <c r="O20" s="87">
        <v>0</v>
      </c>
      <c r="P20" s="87">
        <v>0</v>
      </c>
      <c r="Q20" s="87">
        <f t="shared" si="62"/>
        <v>0</v>
      </c>
      <c r="R20" s="87">
        <f t="shared" si="63"/>
        <v>0</v>
      </c>
      <c r="S20" s="87">
        <v>0</v>
      </c>
      <c r="V20" s="17">
        <f t="shared" si="67"/>
        <v>0</v>
      </c>
      <c r="W20" s="17">
        <f t="shared" si="68"/>
        <v>0</v>
      </c>
      <c r="X20" s="108">
        <f t="shared" si="4"/>
        <v>0</v>
      </c>
      <c r="Y20" s="108">
        <f t="shared" si="5"/>
        <v>0</v>
      </c>
      <c r="Z20" s="108">
        <v>0</v>
      </c>
      <c r="AA20" s="108"/>
      <c r="AB20" s="108">
        <f t="shared" si="6"/>
        <v>0</v>
      </c>
      <c r="AC20" s="109">
        <f t="shared" si="7"/>
        <v>0</v>
      </c>
      <c r="AD20" s="108">
        <f t="shared" si="69"/>
        <v>0</v>
      </c>
      <c r="AE20" s="108">
        <f t="shared" si="70"/>
        <v>0</v>
      </c>
      <c r="AF20" s="108">
        <f t="shared" si="8"/>
        <v>0</v>
      </c>
      <c r="AG20" s="108">
        <f t="shared" si="9"/>
        <v>0</v>
      </c>
      <c r="AH20" s="108">
        <f t="shared" si="46"/>
        <v>0</v>
      </c>
      <c r="AI20" s="127">
        <f t="shared" si="10"/>
        <v>0</v>
      </c>
      <c r="AJ20" s="108">
        <f t="shared" si="11"/>
        <v>0</v>
      </c>
      <c r="AM20" s="108">
        <f t="shared" si="12"/>
        <v>0</v>
      </c>
      <c r="AN20" s="108">
        <f t="shared" si="13"/>
        <v>0</v>
      </c>
      <c r="AQ20" s="116">
        <f t="shared" si="14"/>
        <v>0</v>
      </c>
      <c r="AR20" s="116">
        <f t="shared" si="15"/>
        <v>0</v>
      </c>
      <c r="AS20" s="116"/>
      <c r="AT20" s="116"/>
      <c r="AU20" s="116">
        <f t="shared" si="0"/>
        <v>0</v>
      </c>
      <c r="AV20" s="116">
        <f t="shared" si="16"/>
        <v>0</v>
      </c>
      <c r="AW20" s="116"/>
      <c r="AX20" s="116"/>
      <c r="AY20" s="108">
        <f t="shared" si="17"/>
        <v>0</v>
      </c>
      <c r="AZ20" s="108">
        <f t="shared" si="18"/>
        <v>0</v>
      </c>
      <c r="BA20" s="108">
        <f t="shared" si="19"/>
        <v>0</v>
      </c>
      <c r="BB20" s="139">
        <v>0</v>
      </c>
      <c r="BD20" s="139">
        <f t="shared" si="20"/>
        <v>0</v>
      </c>
      <c r="BE20" s="139">
        <f t="shared" si="21"/>
        <v>0</v>
      </c>
      <c r="BF20" s="139">
        <f t="shared" si="22"/>
        <v>0</v>
      </c>
      <c r="BG20" s="139">
        <f t="shared" si="23"/>
        <v>0</v>
      </c>
      <c r="BH20" s="108">
        <v>0</v>
      </c>
      <c r="BI20" s="108">
        <v>0</v>
      </c>
      <c r="BL20" s="108">
        <f t="shared" si="1"/>
        <v>0</v>
      </c>
      <c r="BM20" s="108">
        <f t="shared" si="24"/>
        <v>0</v>
      </c>
      <c r="BN20" s="108">
        <f t="shared" si="25"/>
        <v>0</v>
      </c>
      <c r="BP20" s="127"/>
      <c r="BQ20" s="108">
        <f t="shared" si="26"/>
        <v>0</v>
      </c>
      <c r="BR20" s="108">
        <f t="shared" si="27"/>
        <v>0</v>
      </c>
      <c r="BS20" s="108">
        <f t="shared" si="28"/>
        <v>0</v>
      </c>
      <c r="BT20" s="108">
        <f t="shared" si="29"/>
        <v>0</v>
      </c>
      <c r="BU20" s="108">
        <f t="shared" si="64"/>
        <v>0</v>
      </c>
      <c r="BV20" s="108">
        <f t="shared" si="65"/>
        <v>0</v>
      </c>
      <c r="CA20" s="108">
        <v>0</v>
      </c>
      <c r="CB20" s="108">
        <v>0</v>
      </c>
      <c r="CC20">
        <v>0</v>
      </c>
      <c r="CD20">
        <v>0</v>
      </c>
      <c r="CE20" s="189">
        <v>0</v>
      </c>
      <c r="CF20" s="189">
        <v>0</v>
      </c>
      <c r="CG20" s="189">
        <f t="shared" si="31"/>
        <v>0</v>
      </c>
      <c r="CH20" s="189">
        <f t="shared" si="32"/>
        <v>0</v>
      </c>
      <c r="CI20" s="150"/>
      <c r="CJ20" s="150"/>
      <c r="CK20" s="150">
        <v>0</v>
      </c>
      <c r="CL20" s="150">
        <v>0</v>
      </c>
      <c r="CM20" s="150"/>
      <c r="CN20" s="150"/>
      <c r="CO20" s="150"/>
      <c r="CP20" s="150"/>
      <c r="CQ20" s="150">
        <f t="shared" si="33"/>
        <v>0</v>
      </c>
      <c r="CR20" s="150">
        <f t="shared" si="34"/>
        <v>0</v>
      </c>
      <c r="CS20" s="150">
        <f t="shared" si="35"/>
        <v>0</v>
      </c>
      <c r="CT20" s="150">
        <f t="shared" si="36"/>
        <v>0</v>
      </c>
      <c r="CU20" s="150">
        <v>0</v>
      </c>
      <c r="CV20" s="150">
        <v>0</v>
      </c>
      <c r="CW20" s="150">
        <f t="shared" si="37"/>
        <v>0</v>
      </c>
      <c r="CX20" s="150">
        <f t="shared" si="38"/>
        <v>0</v>
      </c>
      <c r="CY20" s="150"/>
      <c r="CZ20" s="150"/>
      <c r="DA20" s="150">
        <f t="shared" si="39"/>
        <v>0</v>
      </c>
      <c r="DB20" s="150">
        <f t="shared" si="40"/>
        <v>0</v>
      </c>
      <c r="DC20" s="150">
        <v>0</v>
      </c>
      <c r="DD20" s="150">
        <v>0</v>
      </c>
      <c r="DE20" s="150">
        <f t="shared" si="41"/>
        <v>0</v>
      </c>
      <c r="DF20" s="150">
        <f t="shared" si="42"/>
        <v>0</v>
      </c>
      <c r="DG20" s="150">
        <f t="shared" si="59"/>
        <v>0</v>
      </c>
      <c r="DH20" s="150">
        <f t="shared" si="59"/>
        <v>0</v>
      </c>
      <c r="DI20" s="150">
        <f t="shared" si="60"/>
        <v>0</v>
      </c>
      <c r="DJ20" s="150">
        <f t="shared" si="60"/>
        <v>0</v>
      </c>
      <c r="DK20" s="104">
        <f t="shared" si="61"/>
        <v>0</v>
      </c>
      <c r="DL20" s="104">
        <f t="shared" si="61"/>
        <v>0</v>
      </c>
      <c r="DM20" s="104">
        <f t="shared" si="2"/>
        <v>0</v>
      </c>
      <c r="DN20" s="104">
        <f t="shared" si="3"/>
        <v>0</v>
      </c>
    </row>
    <row r="21" spans="1:124" ht="18.75">
      <c r="A21" s="13">
        <v>13</v>
      </c>
      <c r="B21" s="13"/>
      <c r="C21" s="14"/>
      <c r="D21" s="15" t="s">
        <v>34</v>
      </c>
      <c r="E21" s="16"/>
      <c r="F21" s="81">
        <v>0</v>
      </c>
      <c r="G21" s="81">
        <v>0</v>
      </c>
      <c r="H21" s="81">
        <v>0</v>
      </c>
      <c r="I21" s="17">
        <v>0</v>
      </c>
      <c r="J21" s="86">
        <v>0</v>
      </c>
      <c r="K21" s="87">
        <v>0</v>
      </c>
      <c r="L21" s="87">
        <v>0</v>
      </c>
      <c r="M21" s="87">
        <f t="shared" si="66"/>
        <v>0</v>
      </c>
      <c r="N21" s="87">
        <v>0</v>
      </c>
      <c r="O21" s="87">
        <v>0</v>
      </c>
      <c r="P21" s="87">
        <v>0</v>
      </c>
      <c r="Q21" s="87">
        <f t="shared" si="62"/>
        <v>0</v>
      </c>
      <c r="R21" s="87">
        <f t="shared" si="63"/>
        <v>0</v>
      </c>
      <c r="S21" s="87">
        <v>0</v>
      </c>
      <c r="V21" s="17">
        <f t="shared" si="67"/>
        <v>0</v>
      </c>
      <c r="W21" s="17">
        <f t="shared" si="68"/>
        <v>0</v>
      </c>
      <c r="X21" s="108">
        <f t="shared" si="4"/>
        <v>0</v>
      </c>
      <c r="Y21" s="108">
        <f t="shared" si="5"/>
        <v>0</v>
      </c>
      <c r="Z21" s="108">
        <v>0</v>
      </c>
      <c r="AA21" s="108"/>
      <c r="AB21" s="108">
        <f t="shared" si="6"/>
        <v>0</v>
      </c>
      <c r="AC21" s="109">
        <f t="shared" si="7"/>
        <v>0</v>
      </c>
      <c r="AD21" s="108">
        <f t="shared" si="69"/>
        <v>0</v>
      </c>
      <c r="AE21" s="108">
        <f t="shared" si="70"/>
        <v>0</v>
      </c>
      <c r="AF21" s="108">
        <f t="shared" si="8"/>
        <v>0</v>
      </c>
      <c r="AG21" s="108">
        <f t="shared" si="9"/>
        <v>0</v>
      </c>
      <c r="AH21" s="108">
        <f t="shared" si="46"/>
        <v>0</v>
      </c>
      <c r="AI21" s="127">
        <f t="shared" si="10"/>
        <v>0</v>
      </c>
      <c r="AJ21" s="108">
        <f t="shared" si="11"/>
        <v>0</v>
      </c>
      <c r="AM21" s="108">
        <f t="shared" si="12"/>
        <v>0</v>
      </c>
      <c r="AN21" s="108">
        <f t="shared" si="13"/>
        <v>0</v>
      </c>
      <c r="AQ21" s="116">
        <f t="shared" si="14"/>
        <v>0</v>
      </c>
      <c r="AR21" s="116">
        <f t="shared" si="15"/>
        <v>0</v>
      </c>
      <c r="AS21" s="116"/>
      <c r="AT21" s="116"/>
      <c r="AU21" s="116">
        <f t="shared" si="0"/>
        <v>0</v>
      </c>
      <c r="AV21" s="116">
        <f t="shared" si="16"/>
        <v>0</v>
      </c>
      <c r="AW21" s="116"/>
      <c r="AX21" s="116"/>
      <c r="AY21" s="108">
        <f t="shared" si="17"/>
        <v>0</v>
      </c>
      <c r="AZ21" s="108">
        <f t="shared" si="18"/>
        <v>0</v>
      </c>
      <c r="BA21" s="108">
        <f t="shared" si="19"/>
        <v>0</v>
      </c>
      <c r="BB21" s="139">
        <v>0</v>
      </c>
      <c r="BD21" s="139">
        <f t="shared" si="20"/>
        <v>0</v>
      </c>
      <c r="BE21" s="139">
        <f t="shared" si="21"/>
        <v>0</v>
      </c>
      <c r="BF21" s="139">
        <f t="shared" si="22"/>
        <v>0</v>
      </c>
      <c r="BG21" s="139">
        <f t="shared" si="23"/>
        <v>0</v>
      </c>
      <c r="BH21" s="108">
        <v>0</v>
      </c>
      <c r="BI21" s="108">
        <v>0</v>
      </c>
      <c r="BL21" s="108">
        <f t="shared" si="1"/>
        <v>0</v>
      </c>
      <c r="BM21" s="108">
        <f t="shared" si="24"/>
        <v>0</v>
      </c>
      <c r="BN21" s="108">
        <f t="shared" si="25"/>
        <v>0</v>
      </c>
      <c r="BP21" s="127"/>
      <c r="BQ21" s="108">
        <f t="shared" si="26"/>
        <v>0</v>
      </c>
      <c r="BR21" s="108">
        <f t="shared" si="27"/>
        <v>0</v>
      </c>
      <c r="BS21" s="108">
        <f t="shared" si="28"/>
        <v>0</v>
      </c>
      <c r="BT21" s="108">
        <f t="shared" si="29"/>
        <v>0</v>
      </c>
      <c r="BU21" s="108">
        <f t="shared" si="64"/>
        <v>0</v>
      </c>
      <c r="BV21" s="108">
        <f t="shared" si="65"/>
        <v>0</v>
      </c>
      <c r="CA21" s="108">
        <v>0</v>
      </c>
      <c r="CB21" s="108">
        <v>0</v>
      </c>
      <c r="CC21">
        <v>0</v>
      </c>
      <c r="CD21">
        <v>0</v>
      </c>
      <c r="CE21" s="189">
        <v>0</v>
      </c>
      <c r="CF21" s="189">
        <v>0</v>
      </c>
      <c r="CG21" s="189">
        <f t="shared" si="31"/>
        <v>0</v>
      </c>
      <c r="CH21" s="189">
        <f t="shared" si="32"/>
        <v>0</v>
      </c>
      <c r="CI21" s="150"/>
      <c r="CJ21" s="150"/>
      <c r="CK21" s="150">
        <v>0</v>
      </c>
      <c r="CL21" s="150">
        <v>0</v>
      </c>
      <c r="CM21" s="150"/>
      <c r="CN21" s="150"/>
      <c r="CO21" s="150"/>
      <c r="CP21" s="150"/>
      <c r="CQ21" s="150">
        <f t="shared" si="33"/>
        <v>0</v>
      </c>
      <c r="CR21" s="150">
        <f t="shared" si="34"/>
        <v>0</v>
      </c>
      <c r="CS21" s="150">
        <f t="shared" si="35"/>
        <v>0</v>
      </c>
      <c r="CT21" s="150">
        <f t="shared" si="36"/>
        <v>0</v>
      </c>
      <c r="CU21" s="150">
        <v>0</v>
      </c>
      <c r="CV21" s="150">
        <v>0</v>
      </c>
      <c r="CW21" s="150">
        <f t="shared" si="37"/>
        <v>0</v>
      </c>
      <c r="CX21" s="150">
        <f t="shared" si="38"/>
        <v>0</v>
      </c>
      <c r="CY21" s="150"/>
      <c r="CZ21" s="150"/>
      <c r="DA21" s="150">
        <f t="shared" si="39"/>
        <v>0</v>
      </c>
      <c r="DB21" s="150">
        <f t="shared" si="40"/>
        <v>0</v>
      </c>
      <c r="DC21" s="150">
        <v>0</v>
      </c>
      <c r="DD21" s="150">
        <v>0</v>
      </c>
      <c r="DE21" s="150">
        <f t="shared" si="41"/>
        <v>0</v>
      </c>
      <c r="DF21" s="150">
        <f t="shared" si="42"/>
        <v>0</v>
      </c>
      <c r="DG21" s="150">
        <f t="shared" si="59"/>
        <v>0</v>
      </c>
      <c r="DH21" s="150">
        <f t="shared" si="59"/>
        <v>0</v>
      </c>
      <c r="DI21" s="150">
        <f t="shared" si="60"/>
        <v>0</v>
      </c>
      <c r="DJ21" s="150">
        <f t="shared" si="60"/>
        <v>0</v>
      </c>
      <c r="DK21" s="104">
        <f t="shared" si="61"/>
        <v>0</v>
      </c>
      <c r="DL21" s="104">
        <f t="shared" si="61"/>
        <v>0</v>
      </c>
      <c r="DM21" s="104">
        <f t="shared" si="2"/>
        <v>0</v>
      </c>
      <c r="DN21" s="104">
        <f t="shared" si="3"/>
        <v>0</v>
      </c>
    </row>
    <row r="22" spans="1:124" ht="18.75">
      <c r="A22" s="13">
        <v>49</v>
      </c>
      <c r="B22" s="13"/>
      <c r="C22" s="14"/>
      <c r="D22" s="15" t="s">
        <v>35</v>
      </c>
      <c r="E22" s="16"/>
      <c r="F22" s="81">
        <v>329.84</v>
      </c>
      <c r="G22" s="81">
        <v>0</v>
      </c>
      <c r="H22" s="81">
        <v>329.84</v>
      </c>
      <c r="I22" s="17">
        <v>0</v>
      </c>
      <c r="J22" s="86">
        <v>351.34</v>
      </c>
      <c r="K22" s="87">
        <v>0</v>
      </c>
      <c r="L22" s="87">
        <v>0</v>
      </c>
      <c r="M22" s="87">
        <f t="shared" si="66"/>
        <v>351.34</v>
      </c>
      <c r="N22" s="87">
        <v>80</v>
      </c>
      <c r="O22" s="87">
        <v>0</v>
      </c>
      <c r="P22" s="87">
        <v>0</v>
      </c>
      <c r="Q22" s="87">
        <f t="shared" si="62"/>
        <v>80</v>
      </c>
      <c r="R22" s="87">
        <f t="shared" si="63"/>
        <v>431.34</v>
      </c>
      <c r="S22" s="87">
        <v>0</v>
      </c>
      <c r="V22" s="17">
        <f t="shared" si="67"/>
        <v>349.07</v>
      </c>
      <c r="W22" s="17">
        <f t="shared" si="68"/>
        <v>0</v>
      </c>
      <c r="X22" s="108">
        <f t="shared" si="4"/>
        <v>82.269999999999982</v>
      </c>
      <c r="Y22" s="108">
        <f t="shared" si="5"/>
        <v>0</v>
      </c>
      <c r="Z22" s="108">
        <v>289.07</v>
      </c>
      <c r="AA22" s="108">
        <v>60</v>
      </c>
      <c r="AB22" s="108">
        <f t="shared" si="6"/>
        <v>349.07</v>
      </c>
      <c r="AC22" s="109">
        <f t="shared" si="7"/>
        <v>0</v>
      </c>
      <c r="AD22" s="108">
        <f t="shared" si="69"/>
        <v>349.07</v>
      </c>
      <c r="AE22" s="108">
        <f t="shared" si="70"/>
        <v>0</v>
      </c>
      <c r="AF22" s="108">
        <f t="shared" si="8"/>
        <v>0</v>
      </c>
      <c r="AG22" s="108">
        <f t="shared" si="9"/>
        <v>87</v>
      </c>
      <c r="AH22" s="108">
        <f t="shared" si="46"/>
        <v>0</v>
      </c>
      <c r="AI22" s="127">
        <f t="shared" si="10"/>
        <v>29</v>
      </c>
      <c r="AJ22" s="108">
        <f t="shared" si="11"/>
        <v>0</v>
      </c>
      <c r="AM22" s="108">
        <f t="shared" si="12"/>
        <v>87.27</v>
      </c>
      <c r="AN22" s="108">
        <f t="shared" si="13"/>
        <v>0</v>
      </c>
      <c r="AQ22" s="108">
        <f t="shared" si="14"/>
        <v>174.26999999999998</v>
      </c>
      <c r="AR22" s="108">
        <f t="shared" si="15"/>
        <v>0</v>
      </c>
      <c r="AU22" s="108">
        <f t="shared" si="0"/>
        <v>87.27</v>
      </c>
      <c r="AV22" s="108">
        <f t="shared" si="16"/>
        <v>0</v>
      </c>
      <c r="AY22" s="108">
        <f t="shared" si="17"/>
        <v>290.53999999999996</v>
      </c>
      <c r="AZ22" s="108">
        <f t="shared" si="18"/>
        <v>0</v>
      </c>
      <c r="BA22" s="108">
        <f t="shared" si="19"/>
        <v>290.53999999999996</v>
      </c>
      <c r="BB22" s="139">
        <v>290.54000000000002</v>
      </c>
      <c r="BD22" s="139">
        <f t="shared" si="20"/>
        <v>0</v>
      </c>
      <c r="BE22" s="139">
        <f t="shared" si="21"/>
        <v>0</v>
      </c>
      <c r="BF22" s="139">
        <f t="shared" si="22"/>
        <v>58.11</v>
      </c>
      <c r="BG22" s="139">
        <f t="shared" si="23"/>
        <v>0</v>
      </c>
      <c r="BH22" s="108">
        <v>29.06</v>
      </c>
      <c r="BI22" s="108">
        <v>0</v>
      </c>
      <c r="BL22" s="108">
        <f t="shared" si="1"/>
        <v>319.59999999999997</v>
      </c>
      <c r="BM22" s="108">
        <f t="shared" si="24"/>
        <v>0</v>
      </c>
      <c r="BN22" s="108">
        <f t="shared" si="25"/>
        <v>319.59999999999997</v>
      </c>
      <c r="BO22" s="108">
        <v>290.54000000000002</v>
      </c>
      <c r="BP22" s="127"/>
      <c r="BQ22" s="108">
        <f t="shared" si="26"/>
        <v>29.059999999999945</v>
      </c>
      <c r="BR22" s="108">
        <f t="shared" si="27"/>
        <v>0</v>
      </c>
      <c r="BS22" s="108">
        <f t="shared" si="28"/>
        <v>26.41</v>
      </c>
      <c r="BT22" s="108">
        <f t="shared" si="29"/>
        <v>0</v>
      </c>
      <c r="BU22" s="108">
        <v>0</v>
      </c>
      <c r="BV22" s="108">
        <f t="shared" si="65"/>
        <v>0</v>
      </c>
      <c r="BW22" s="109">
        <v>29.47</v>
      </c>
      <c r="CA22" s="108">
        <v>349.06999999999994</v>
      </c>
      <c r="CB22" s="108">
        <v>0</v>
      </c>
      <c r="CC22">
        <v>383.98</v>
      </c>
      <c r="CD22">
        <v>0</v>
      </c>
      <c r="CE22" s="189">
        <v>32</v>
      </c>
      <c r="CF22" s="189">
        <v>0</v>
      </c>
      <c r="CG22" s="189">
        <f t="shared" si="31"/>
        <v>87.27</v>
      </c>
      <c r="CH22" s="189">
        <f t="shared" si="32"/>
        <v>0</v>
      </c>
      <c r="CI22" s="150"/>
      <c r="CJ22" s="150"/>
      <c r="CK22" s="150">
        <v>90</v>
      </c>
      <c r="CL22" s="150">
        <v>0</v>
      </c>
      <c r="CM22" s="150"/>
      <c r="CN22" s="150"/>
      <c r="CO22" s="150">
        <v>375</v>
      </c>
      <c r="CP22" s="150"/>
      <c r="CQ22" s="150">
        <f t="shared" si="33"/>
        <v>360</v>
      </c>
      <c r="CR22" s="150">
        <f t="shared" si="34"/>
        <v>0</v>
      </c>
      <c r="CS22" s="150">
        <f t="shared" si="35"/>
        <v>360</v>
      </c>
      <c r="CT22" s="150">
        <f t="shared" si="36"/>
        <v>0</v>
      </c>
      <c r="CU22" s="150">
        <v>360</v>
      </c>
      <c r="CV22" s="150">
        <v>0</v>
      </c>
      <c r="CW22" s="150">
        <f t="shared" si="37"/>
        <v>90</v>
      </c>
      <c r="CX22" s="150">
        <f t="shared" si="38"/>
        <v>0</v>
      </c>
      <c r="CY22" s="150"/>
      <c r="CZ22" s="150"/>
      <c r="DA22" s="150">
        <f t="shared" si="39"/>
        <v>212</v>
      </c>
      <c r="DB22" s="150">
        <f t="shared" si="40"/>
        <v>0</v>
      </c>
      <c r="DC22" s="150">
        <v>212</v>
      </c>
      <c r="DD22" s="150">
        <v>0</v>
      </c>
      <c r="DE22" s="150">
        <f t="shared" si="41"/>
        <v>0</v>
      </c>
      <c r="DF22" s="150">
        <f t="shared" si="42"/>
        <v>0</v>
      </c>
      <c r="DG22" s="150">
        <f t="shared" si="59"/>
        <v>90</v>
      </c>
      <c r="DH22" s="150">
        <f t="shared" si="59"/>
        <v>0</v>
      </c>
      <c r="DI22" s="150">
        <f t="shared" si="60"/>
        <v>90</v>
      </c>
      <c r="DJ22" s="150">
        <f t="shared" si="60"/>
        <v>0</v>
      </c>
      <c r="DK22" s="104">
        <f t="shared" si="61"/>
        <v>58</v>
      </c>
      <c r="DL22" s="104">
        <f t="shared" si="61"/>
        <v>0</v>
      </c>
      <c r="DM22" s="104">
        <f t="shared" si="2"/>
        <v>58</v>
      </c>
      <c r="DN22" s="104">
        <f t="shared" si="3"/>
        <v>0</v>
      </c>
      <c r="DO22" s="104">
        <f>300+60</f>
        <v>360</v>
      </c>
      <c r="DQ22" s="185">
        <f>330+70</f>
        <v>400</v>
      </c>
    </row>
    <row r="23" spans="1:124" ht="18.75">
      <c r="A23" s="13">
        <v>14</v>
      </c>
      <c r="B23" s="13"/>
      <c r="C23" s="14"/>
      <c r="D23" s="15" t="s">
        <v>36</v>
      </c>
      <c r="E23" s="16"/>
      <c r="F23" s="81">
        <v>0</v>
      </c>
      <c r="G23" s="81">
        <v>0</v>
      </c>
      <c r="H23" s="81">
        <v>0</v>
      </c>
      <c r="I23" s="17">
        <v>0</v>
      </c>
      <c r="J23" s="86">
        <v>484</v>
      </c>
      <c r="K23" s="87">
        <v>0</v>
      </c>
      <c r="L23" s="87">
        <v>0</v>
      </c>
      <c r="M23" s="87">
        <f t="shared" si="66"/>
        <v>484</v>
      </c>
      <c r="N23" s="87">
        <v>0</v>
      </c>
      <c r="O23" s="87">
        <v>0</v>
      </c>
      <c r="P23" s="87">
        <v>0</v>
      </c>
      <c r="Q23" s="87">
        <f t="shared" si="62"/>
        <v>0</v>
      </c>
      <c r="R23" s="87">
        <f t="shared" si="63"/>
        <v>484</v>
      </c>
      <c r="S23" s="87">
        <v>0</v>
      </c>
      <c r="V23" s="17">
        <f t="shared" si="67"/>
        <v>0</v>
      </c>
      <c r="W23" s="17">
        <f t="shared" si="68"/>
        <v>0</v>
      </c>
      <c r="X23" s="108">
        <f t="shared" si="4"/>
        <v>484</v>
      </c>
      <c r="Y23" s="108">
        <f t="shared" si="5"/>
        <v>0</v>
      </c>
      <c r="Z23" s="108">
        <v>0</v>
      </c>
      <c r="AA23" s="108"/>
      <c r="AB23" s="108">
        <f t="shared" si="6"/>
        <v>0</v>
      </c>
      <c r="AC23" s="109">
        <f t="shared" si="7"/>
        <v>0</v>
      </c>
      <c r="AD23" s="112">
        <f t="shared" si="69"/>
        <v>0</v>
      </c>
      <c r="AE23" s="108">
        <f t="shared" si="70"/>
        <v>0</v>
      </c>
      <c r="AF23" s="108">
        <f t="shared" si="8"/>
        <v>0</v>
      </c>
      <c r="AG23" s="108">
        <f t="shared" si="9"/>
        <v>0</v>
      </c>
      <c r="AH23" s="108">
        <f t="shared" si="46"/>
        <v>0</v>
      </c>
      <c r="AI23" s="127">
        <f t="shared" si="10"/>
        <v>0</v>
      </c>
      <c r="AJ23" s="108">
        <f t="shared" si="11"/>
        <v>0</v>
      </c>
      <c r="AM23" s="108">
        <f t="shared" si="12"/>
        <v>0</v>
      </c>
      <c r="AN23" s="108">
        <f t="shared" si="13"/>
        <v>0</v>
      </c>
      <c r="AQ23" s="108">
        <f t="shared" si="14"/>
        <v>0</v>
      </c>
      <c r="AR23" s="108">
        <f t="shared" si="15"/>
        <v>0</v>
      </c>
      <c r="AU23" s="108">
        <f t="shared" si="0"/>
        <v>0</v>
      </c>
      <c r="AV23" s="108">
        <f t="shared" si="16"/>
        <v>0</v>
      </c>
      <c r="AY23" s="108">
        <f t="shared" si="17"/>
        <v>0</v>
      </c>
      <c r="AZ23" s="108">
        <f t="shared" si="18"/>
        <v>0</v>
      </c>
      <c r="BA23" s="108">
        <f t="shared" si="19"/>
        <v>0</v>
      </c>
      <c r="BB23" s="139">
        <v>0</v>
      </c>
      <c r="BD23" s="139">
        <f t="shared" si="20"/>
        <v>0</v>
      </c>
      <c r="BE23" s="139">
        <f t="shared" si="21"/>
        <v>0</v>
      </c>
      <c r="BF23" s="139">
        <f t="shared" si="22"/>
        <v>0</v>
      </c>
      <c r="BG23" s="139">
        <f t="shared" si="23"/>
        <v>0</v>
      </c>
      <c r="BH23" s="108">
        <v>0</v>
      </c>
      <c r="BI23" s="108">
        <v>0</v>
      </c>
      <c r="BL23" s="108">
        <f t="shared" si="1"/>
        <v>0</v>
      </c>
      <c r="BM23" s="108">
        <f t="shared" si="24"/>
        <v>0</v>
      </c>
      <c r="BN23" s="108">
        <f t="shared" si="25"/>
        <v>0</v>
      </c>
      <c r="BP23" s="127"/>
      <c r="BQ23" s="108">
        <f t="shared" si="26"/>
        <v>0</v>
      </c>
      <c r="BR23" s="108">
        <f t="shared" si="27"/>
        <v>0</v>
      </c>
      <c r="BS23" s="108">
        <f t="shared" si="28"/>
        <v>0</v>
      </c>
      <c r="BT23" s="108">
        <f t="shared" si="29"/>
        <v>0</v>
      </c>
      <c r="BU23" s="108">
        <f t="shared" si="64"/>
        <v>0</v>
      </c>
      <c r="BV23" s="108">
        <f t="shared" si="65"/>
        <v>0</v>
      </c>
      <c r="CA23" s="108">
        <v>0</v>
      </c>
      <c r="CB23" s="108">
        <v>0</v>
      </c>
      <c r="CC23">
        <v>0</v>
      </c>
      <c r="CD23">
        <v>0</v>
      </c>
      <c r="CE23" s="189">
        <v>0</v>
      </c>
      <c r="CF23" s="189">
        <v>0</v>
      </c>
      <c r="CG23" s="189">
        <f t="shared" si="31"/>
        <v>0</v>
      </c>
      <c r="CH23" s="189">
        <f t="shared" si="32"/>
        <v>0</v>
      </c>
      <c r="CI23" s="150"/>
      <c r="CJ23" s="150"/>
      <c r="CK23" s="150">
        <v>0</v>
      </c>
      <c r="CL23" s="150">
        <v>0</v>
      </c>
      <c r="CM23" s="150"/>
      <c r="CN23" s="150"/>
      <c r="CO23" s="150">
        <v>5.46</v>
      </c>
      <c r="CP23" s="150"/>
      <c r="CQ23" s="150">
        <f t="shared" si="33"/>
        <v>0</v>
      </c>
      <c r="CR23" s="150">
        <f t="shared" si="34"/>
        <v>0</v>
      </c>
      <c r="CS23" s="150">
        <f t="shared" si="35"/>
        <v>0</v>
      </c>
      <c r="CT23" s="150">
        <f t="shared" si="36"/>
        <v>0</v>
      </c>
      <c r="CU23" s="150">
        <v>0</v>
      </c>
      <c r="CV23" s="150">
        <v>0</v>
      </c>
      <c r="CW23" s="150">
        <f t="shared" si="37"/>
        <v>0</v>
      </c>
      <c r="CX23" s="150">
        <f t="shared" si="38"/>
        <v>0</v>
      </c>
      <c r="CY23" s="150"/>
      <c r="CZ23" s="150"/>
      <c r="DA23" s="150">
        <f t="shared" si="39"/>
        <v>0</v>
      </c>
      <c r="DB23" s="150">
        <f t="shared" si="40"/>
        <v>0</v>
      </c>
      <c r="DC23" s="150">
        <v>0</v>
      </c>
      <c r="DD23" s="150">
        <v>0</v>
      </c>
      <c r="DE23" s="150">
        <f t="shared" si="41"/>
        <v>0</v>
      </c>
      <c r="DF23" s="150">
        <f t="shared" si="42"/>
        <v>0</v>
      </c>
      <c r="DG23" s="150">
        <f t="shared" si="59"/>
        <v>0</v>
      </c>
      <c r="DH23" s="150">
        <f t="shared" si="59"/>
        <v>0</v>
      </c>
      <c r="DI23" s="150">
        <f t="shared" si="60"/>
        <v>0</v>
      </c>
      <c r="DJ23" s="150">
        <f t="shared" si="60"/>
        <v>0</v>
      </c>
      <c r="DK23" s="104">
        <f t="shared" si="61"/>
        <v>0</v>
      </c>
      <c r="DL23" s="104">
        <f t="shared" si="61"/>
        <v>0</v>
      </c>
      <c r="DM23" s="104">
        <f t="shared" si="2"/>
        <v>0</v>
      </c>
      <c r="DN23" s="104">
        <f t="shared" si="3"/>
        <v>0</v>
      </c>
    </row>
    <row r="24" spans="1:124" ht="18.75">
      <c r="A24" s="32"/>
      <c r="B24" s="32"/>
      <c r="C24" s="33"/>
      <c r="D24" s="34" t="s">
        <v>37</v>
      </c>
      <c r="E24" s="35"/>
      <c r="F24" s="42">
        <v>22437.200000000001</v>
      </c>
      <c r="G24" s="42">
        <v>18901.61</v>
      </c>
      <c r="H24" s="42">
        <v>22596.2</v>
      </c>
      <c r="I24" s="42">
        <v>18901.61</v>
      </c>
      <c r="J24" s="91">
        <f t="shared" ref="J24:AB24" si="71">+J17+J18+J19+J20+J21+J22+J23</f>
        <v>24692.51</v>
      </c>
      <c r="K24" s="91">
        <f t="shared" si="71"/>
        <v>0</v>
      </c>
      <c r="L24" s="91">
        <f t="shared" si="71"/>
        <v>0</v>
      </c>
      <c r="M24" s="91">
        <f t="shared" si="71"/>
        <v>24692.51</v>
      </c>
      <c r="N24" s="91">
        <f t="shared" si="71"/>
        <v>126.47999999999999</v>
      </c>
      <c r="O24" s="91">
        <f t="shared" si="71"/>
        <v>0</v>
      </c>
      <c r="P24" s="91">
        <f t="shared" si="71"/>
        <v>0</v>
      </c>
      <c r="Q24" s="91">
        <f t="shared" si="71"/>
        <v>126.47999999999999</v>
      </c>
      <c r="R24" s="91">
        <f t="shared" si="71"/>
        <v>24818.989999999998</v>
      </c>
      <c r="S24" s="91">
        <f t="shared" si="71"/>
        <v>21000</v>
      </c>
      <c r="T24" s="91">
        <f t="shared" si="71"/>
        <v>0</v>
      </c>
      <c r="U24" s="91">
        <f t="shared" si="71"/>
        <v>0</v>
      </c>
      <c r="V24" s="91">
        <f t="shared" si="71"/>
        <v>23913.549999999996</v>
      </c>
      <c r="W24" s="91">
        <f t="shared" si="71"/>
        <v>19519.689999999999</v>
      </c>
      <c r="X24" s="91">
        <f t="shared" si="71"/>
        <v>905.44000000000165</v>
      </c>
      <c r="Y24" s="91">
        <f t="shared" si="71"/>
        <v>1480.3100000000013</v>
      </c>
      <c r="Z24" s="91">
        <f t="shared" si="71"/>
        <v>23813.549999999996</v>
      </c>
      <c r="AA24" s="91">
        <f t="shared" si="71"/>
        <v>100</v>
      </c>
      <c r="AB24" s="91">
        <f t="shared" si="71"/>
        <v>23913.549999999996</v>
      </c>
      <c r="AC24" s="109">
        <f t="shared" si="7"/>
        <v>0</v>
      </c>
      <c r="AD24" s="42">
        <f t="shared" ref="AD24:CP24" si="72">+AD17+AD18+AD19+AD20+AD21+AD22+AD23</f>
        <v>23913.549999999996</v>
      </c>
      <c r="AE24" s="42">
        <f t="shared" si="72"/>
        <v>20019.689999999999</v>
      </c>
      <c r="AF24" s="42">
        <f t="shared" si="72"/>
        <v>18946.2</v>
      </c>
      <c r="AG24" s="42">
        <f t="shared" si="72"/>
        <v>5979</v>
      </c>
      <c r="AH24" s="42">
        <f t="shared" si="72"/>
        <v>5005</v>
      </c>
      <c r="AI24" s="128">
        <f t="shared" si="72"/>
        <v>1993</v>
      </c>
      <c r="AJ24" s="42">
        <f t="shared" si="72"/>
        <v>1668</v>
      </c>
      <c r="AK24" s="42">
        <f t="shared" si="72"/>
        <v>0</v>
      </c>
      <c r="AL24" s="42">
        <f t="shared" si="72"/>
        <v>0</v>
      </c>
      <c r="AM24" s="42">
        <f t="shared" si="72"/>
        <v>5978.39</v>
      </c>
      <c r="AN24" s="42">
        <f t="shared" si="72"/>
        <v>4874.79</v>
      </c>
      <c r="AO24" s="42">
        <f t="shared" si="72"/>
        <v>0</v>
      </c>
      <c r="AP24" s="42">
        <f t="shared" si="72"/>
        <v>0</v>
      </c>
      <c r="AQ24" s="42">
        <f t="shared" si="72"/>
        <v>11957.390000000001</v>
      </c>
      <c r="AR24" s="42">
        <f t="shared" si="72"/>
        <v>9879.7900000000009</v>
      </c>
      <c r="AS24" s="42">
        <f t="shared" si="72"/>
        <v>300</v>
      </c>
      <c r="AT24" s="42">
        <f t="shared" si="72"/>
        <v>0</v>
      </c>
      <c r="AU24" s="42">
        <f t="shared" si="72"/>
        <v>6734.6</v>
      </c>
      <c r="AV24" s="42">
        <f t="shared" si="72"/>
        <v>7000</v>
      </c>
      <c r="AW24" s="42">
        <f t="shared" si="72"/>
        <v>0</v>
      </c>
      <c r="AX24" s="42">
        <f t="shared" si="72"/>
        <v>0</v>
      </c>
      <c r="AY24" s="42">
        <f t="shared" si="72"/>
        <v>20984.99</v>
      </c>
      <c r="AZ24" s="42">
        <f t="shared" si="72"/>
        <v>18547.79</v>
      </c>
      <c r="BA24" s="42">
        <f t="shared" si="72"/>
        <v>39532.780000000006</v>
      </c>
      <c r="BB24" s="42">
        <f t="shared" si="72"/>
        <v>19892.140000000003</v>
      </c>
      <c r="BC24" s="42">
        <f t="shared" si="72"/>
        <v>18544.14</v>
      </c>
      <c r="BD24" s="42">
        <f t="shared" si="72"/>
        <v>1092.8500000000004</v>
      </c>
      <c r="BE24" s="42">
        <f t="shared" si="72"/>
        <v>3.6500000000014552</v>
      </c>
      <c r="BF24" s="42">
        <f t="shared" si="72"/>
        <v>3978.4300000000003</v>
      </c>
      <c r="BG24" s="128">
        <f t="shared" si="72"/>
        <v>3708.83</v>
      </c>
      <c r="BH24" s="128">
        <f t="shared" si="72"/>
        <v>2494.0099999999998</v>
      </c>
      <c r="BI24" s="128">
        <f t="shared" si="72"/>
        <v>2000</v>
      </c>
      <c r="BJ24" s="128">
        <f t="shared" si="72"/>
        <v>0</v>
      </c>
      <c r="BK24" s="128">
        <f t="shared" si="72"/>
        <v>0</v>
      </c>
      <c r="BL24" s="128">
        <f t="shared" si="72"/>
        <v>23479</v>
      </c>
      <c r="BM24" s="128">
        <f t="shared" si="72"/>
        <v>20547.79</v>
      </c>
      <c r="BN24" s="128">
        <f t="shared" si="72"/>
        <v>44026.79</v>
      </c>
      <c r="BO24" s="128">
        <f t="shared" si="72"/>
        <v>22179.25</v>
      </c>
      <c r="BP24" s="128">
        <f t="shared" si="72"/>
        <v>20023.29</v>
      </c>
      <c r="BQ24" s="42">
        <f t="shared" si="72"/>
        <v>1299.7500000000016</v>
      </c>
      <c r="BR24" s="42">
        <f t="shared" si="72"/>
        <v>524.5</v>
      </c>
      <c r="BS24" s="42">
        <f t="shared" si="72"/>
        <v>2016.3</v>
      </c>
      <c r="BT24" s="42">
        <f t="shared" si="72"/>
        <v>1820.3</v>
      </c>
      <c r="BU24" s="42">
        <f t="shared" si="72"/>
        <v>716.55000000000007</v>
      </c>
      <c r="BV24" s="42">
        <f t="shared" si="72"/>
        <v>1245.8</v>
      </c>
      <c r="BW24" s="42">
        <f t="shared" si="72"/>
        <v>1069.47</v>
      </c>
      <c r="BX24" s="42">
        <f t="shared" si="72"/>
        <v>404</v>
      </c>
      <c r="BY24" s="42">
        <f t="shared" si="72"/>
        <v>0</v>
      </c>
      <c r="BZ24" s="42">
        <f t="shared" si="72"/>
        <v>0</v>
      </c>
      <c r="CA24" s="42">
        <f t="shared" si="72"/>
        <v>25265.02</v>
      </c>
      <c r="CB24" s="42">
        <f t="shared" si="72"/>
        <v>22197.59</v>
      </c>
      <c r="CC24" s="42">
        <f t="shared" si="72"/>
        <v>27791.53</v>
      </c>
      <c r="CD24" s="128">
        <f t="shared" si="72"/>
        <v>25527.23</v>
      </c>
      <c r="CE24" s="190">
        <f t="shared" si="72"/>
        <v>2316</v>
      </c>
      <c r="CF24" s="190">
        <f t="shared" si="72"/>
        <v>2127</v>
      </c>
      <c r="CG24" s="190">
        <f t="shared" si="72"/>
        <v>6316.26</v>
      </c>
      <c r="CH24" s="190">
        <f t="shared" si="72"/>
        <v>5549.4</v>
      </c>
      <c r="CI24" s="190">
        <f t="shared" si="72"/>
        <v>0</v>
      </c>
      <c r="CJ24" s="190">
        <f t="shared" si="72"/>
        <v>0</v>
      </c>
      <c r="CK24" s="190">
        <f t="shared" si="72"/>
        <v>6445</v>
      </c>
      <c r="CL24" s="190">
        <f t="shared" si="72"/>
        <v>5500</v>
      </c>
      <c r="CM24" s="190">
        <f t="shared" si="72"/>
        <v>0</v>
      </c>
      <c r="CN24" s="190">
        <f t="shared" si="72"/>
        <v>0</v>
      </c>
      <c r="CO24" s="190">
        <f t="shared" si="72"/>
        <v>33298.82</v>
      </c>
      <c r="CP24" s="190">
        <f t="shared" si="72"/>
        <v>23023</v>
      </c>
      <c r="CQ24" s="190">
        <f t="shared" ref="CQ24:DQ24" si="73">+CQ17+CQ18+CQ19+CQ20+CQ21+CQ22+CQ23</f>
        <v>25780</v>
      </c>
      <c r="CR24" s="190">
        <f t="shared" si="73"/>
        <v>22000</v>
      </c>
      <c r="CS24" s="190">
        <f t="shared" si="73"/>
        <v>25758</v>
      </c>
      <c r="CT24" s="190">
        <f t="shared" si="73"/>
        <v>22000</v>
      </c>
      <c r="CU24" s="190">
        <f t="shared" si="73"/>
        <v>25849.41</v>
      </c>
      <c r="CV24" s="190">
        <f t="shared" si="73"/>
        <v>22000</v>
      </c>
      <c r="CW24" s="190">
        <f t="shared" si="73"/>
        <v>6439.5</v>
      </c>
      <c r="CX24" s="190">
        <f t="shared" si="73"/>
        <v>5500</v>
      </c>
      <c r="CY24" s="190">
        <f t="shared" si="73"/>
        <v>0</v>
      </c>
      <c r="CZ24" s="190">
        <f t="shared" si="73"/>
        <v>250</v>
      </c>
      <c r="DA24" s="190">
        <f t="shared" si="73"/>
        <v>15200.5</v>
      </c>
      <c r="DB24" s="190">
        <f t="shared" si="73"/>
        <v>13377</v>
      </c>
      <c r="DC24" s="190">
        <f t="shared" si="73"/>
        <v>14016</v>
      </c>
      <c r="DD24" s="190">
        <f t="shared" si="73"/>
        <v>13408.74</v>
      </c>
      <c r="DE24" s="190">
        <f t="shared" si="73"/>
        <v>1184.5</v>
      </c>
      <c r="DF24" s="190">
        <f t="shared" si="73"/>
        <v>-31.739999999999782</v>
      </c>
      <c r="DG24" s="190">
        <f t="shared" si="73"/>
        <v>6462.35</v>
      </c>
      <c r="DH24" s="190">
        <f t="shared" si="73"/>
        <v>5500</v>
      </c>
      <c r="DI24" s="190">
        <f t="shared" si="73"/>
        <v>5277.85</v>
      </c>
      <c r="DJ24" s="190">
        <f t="shared" si="73"/>
        <v>5531.74</v>
      </c>
      <c r="DK24" s="188">
        <f t="shared" si="73"/>
        <v>6571.06</v>
      </c>
      <c r="DL24" s="42">
        <f t="shared" si="73"/>
        <v>5091.26</v>
      </c>
      <c r="DM24" s="104">
        <f t="shared" si="2"/>
        <v>5371.0599999999995</v>
      </c>
      <c r="DN24" s="104">
        <f t="shared" si="3"/>
        <v>3091.26</v>
      </c>
      <c r="DO24" s="42">
        <f t="shared" si="73"/>
        <v>27049.41</v>
      </c>
      <c r="DP24" s="42">
        <f t="shared" si="73"/>
        <v>24000</v>
      </c>
      <c r="DQ24" s="42">
        <f t="shared" si="73"/>
        <v>30350.87</v>
      </c>
      <c r="DR24" s="42">
        <f t="shared" ref="DR24" si="74">+DR17+DR18+DR19+DR20+DR21+DR22+DR23</f>
        <v>25000</v>
      </c>
    </row>
    <row r="25" spans="1:124" ht="18.75">
      <c r="A25" s="13">
        <v>15</v>
      </c>
      <c r="B25" s="13"/>
      <c r="C25" s="14"/>
      <c r="D25" s="15" t="s">
        <v>38</v>
      </c>
      <c r="E25" s="16"/>
      <c r="F25" s="81">
        <v>166.89</v>
      </c>
      <c r="G25" s="81">
        <v>0</v>
      </c>
      <c r="H25" s="81">
        <v>166.89</v>
      </c>
      <c r="I25" s="17">
        <v>0</v>
      </c>
      <c r="J25" s="86">
        <v>689</v>
      </c>
      <c r="K25" s="87">
        <v>0</v>
      </c>
      <c r="L25" s="87">
        <v>0</v>
      </c>
      <c r="M25" s="87">
        <f t="shared" si="66"/>
        <v>689</v>
      </c>
      <c r="N25" s="87"/>
      <c r="O25" s="87"/>
      <c r="P25" s="87"/>
      <c r="Q25" s="87">
        <f t="shared" si="62"/>
        <v>0</v>
      </c>
      <c r="R25" s="87">
        <f t="shared" si="63"/>
        <v>689</v>
      </c>
      <c r="S25" s="87">
        <v>0</v>
      </c>
      <c r="V25" s="17">
        <f>ROUND(H25*1.0583,2)</f>
        <v>176.62</v>
      </c>
      <c r="W25" s="17">
        <f>ROUND(I25*1.0327,2)</f>
        <v>0</v>
      </c>
      <c r="X25" s="108">
        <f t="shared" si="4"/>
        <v>512.38</v>
      </c>
      <c r="Y25" s="108">
        <f t="shared" si="5"/>
        <v>0</v>
      </c>
      <c r="Z25" s="108">
        <v>500</v>
      </c>
      <c r="AA25" s="108"/>
      <c r="AB25" s="108">
        <f t="shared" si="6"/>
        <v>500</v>
      </c>
      <c r="AC25" s="109">
        <f t="shared" si="7"/>
        <v>0</v>
      </c>
      <c r="AD25" s="113">
        <v>500</v>
      </c>
      <c r="AE25" s="108">
        <f>IF(Y25&gt;0,W25,S25)</f>
        <v>0</v>
      </c>
      <c r="AF25" s="108">
        <f t="shared" si="8"/>
        <v>0</v>
      </c>
      <c r="AG25" s="108">
        <f t="shared" si="9"/>
        <v>125</v>
      </c>
      <c r="AH25" s="108">
        <f t="shared" si="46"/>
        <v>0</v>
      </c>
      <c r="AI25" s="127">
        <f t="shared" si="10"/>
        <v>42</v>
      </c>
      <c r="AJ25" s="108">
        <f t="shared" si="11"/>
        <v>0</v>
      </c>
      <c r="AM25" s="108">
        <f t="shared" si="12"/>
        <v>125</v>
      </c>
      <c r="AN25" s="108">
        <f t="shared" si="13"/>
        <v>0</v>
      </c>
      <c r="AQ25" s="108">
        <f t="shared" si="14"/>
        <v>250</v>
      </c>
      <c r="AR25" s="108">
        <f t="shared" si="15"/>
        <v>0</v>
      </c>
      <c r="AU25" s="108">
        <f t="shared" si="0"/>
        <v>125</v>
      </c>
      <c r="AV25" s="108">
        <f t="shared" si="16"/>
        <v>0</v>
      </c>
      <c r="AY25" s="108">
        <f t="shared" si="17"/>
        <v>417</v>
      </c>
      <c r="AZ25" s="108">
        <f t="shared" si="18"/>
        <v>0</v>
      </c>
      <c r="BA25" s="108">
        <f t="shared" si="19"/>
        <v>417</v>
      </c>
      <c r="BB25" s="139">
        <v>252.44</v>
      </c>
      <c r="BD25" s="139">
        <f t="shared" si="20"/>
        <v>164.56</v>
      </c>
      <c r="BE25" s="139">
        <f t="shared" si="21"/>
        <v>0</v>
      </c>
      <c r="BF25" s="139">
        <f t="shared" si="22"/>
        <v>50.49</v>
      </c>
      <c r="BG25" s="139">
        <f t="shared" si="23"/>
        <v>0</v>
      </c>
      <c r="BH25" s="108">
        <v>0</v>
      </c>
      <c r="BI25" s="108">
        <v>0</v>
      </c>
      <c r="BL25" s="108">
        <f t="shared" si="1"/>
        <v>417</v>
      </c>
      <c r="BM25" s="108">
        <f t="shared" si="24"/>
        <v>0</v>
      </c>
      <c r="BN25" s="108">
        <f t="shared" si="25"/>
        <v>417</v>
      </c>
      <c r="BO25" s="167">
        <v>215.75</v>
      </c>
      <c r="BP25" s="127"/>
      <c r="BQ25" s="108">
        <f t="shared" si="26"/>
        <v>201.25</v>
      </c>
      <c r="BR25" s="108">
        <f t="shared" si="27"/>
        <v>0</v>
      </c>
      <c r="BS25" s="108">
        <f t="shared" si="28"/>
        <v>19.61</v>
      </c>
      <c r="BT25" s="108">
        <f t="shared" si="29"/>
        <v>0</v>
      </c>
      <c r="BU25" s="108">
        <v>0</v>
      </c>
      <c r="BV25" s="108">
        <f t="shared" si="65"/>
        <v>0</v>
      </c>
      <c r="CA25" s="108">
        <v>417</v>
      </c>
      <c r="CB25" s="108">
        <v>0</v>
      </c>
      <c r="CC25">
        <v>458.7</v>
      </c>
      <c r="CD25">
        <v>0</v>
      </c>
      <c r="CE25" s="189">
        <v>38</v>
      </c>
      <c r="CF25" s="189">
        <v>0</v>
      </c>
      <c r="CG25" s="189">
        <f t="shared" si="31"/>
        <v>104.25</v>
      </c>
      <c r="CH25" s="189">
        <f t="shared" si="32"/>
        <v>0</v>
      </c>
      <c r="CI25" s="150"/>
      <c r="CJ25" s="150"/>
      <c r="CK25" s="150">
        <v>120</v>
      </c>
      <c r="CL25" s="150">
        <v>0</v>
      </c>
      <c r="CM25" s="150"/>
      <c r="CN25" s="150"/>
      <c r="CO25" s="150">
        <v>550</v>
      </c>
      <c r="CP25" s="150"/>
      <c r="CQ25" s="150">
        <f t="shared" si="33"/>
        <v>480</v>
      </c>
      <c r="CR25" s="150">
        <f t="shared" si="34"/>
        <v>0</v>
      </c>
      <c r="CS25" s="150">
        <f t="shared" si="35"/>
        <v>480</v>
      </c>
      <c r="CT25" s="150">
        <f t="shared" si="36"/>
        <v>0</v>
      </c>
      <c r="CU25" s="150">
        <v>480</v>
      </c>
      <c r="CV25" s="150">
        <v>0</v>
      </c>
      <c r="CW25" s="150">
        <f t="shared" si="37"/>
        <v>120</v>
      </c>
      <c r="CX25" s="150">
        <f t="shared" si="38"/>
        <v>0</v>
      </c>
      <c r="CY25" s="150"/>
      <c r="CZ25" s="150"/>
      <c r="DA25" s="150">
        <f t="shared" si="39"/>
        <v>278</v>
      </c>
      <c r="DB25" s="150">
        <f t="shared" si="40"/>
        <v>0</v>
      </c>
      <c r="DC25" s="150">
        <v>210.4</v>
      </c>
      <c r="DD25" s="150"/>
      <c r="DE25" s="150">
        <f t="shared" si="41"/>
        <v>67.599999999999994</v>
      </c>
      <c r="DF25" s="150">
        <f t="shared" si="42"/>
        <v>0</v>
      </c>
      <c r="DG25" s="150">
        <f>ROUND(0.25*(MIN(CU25,DO25)),2)</f>
        <v>100</v>
      </c>
      <c r="DH25" s="150">
        <f>ROUND(0.25*(MIN(CV25,DP25)),2)</f>
        <v>0</v>
      </c>
      <c r="DI25" s="150">
        <f>+DG25-DE25</f>
        <v>32.400000000000006</v>
      </c>
      <c r="DJ25" s="150">
        <f>+DH25-DF25</f>
        <v>0</v>
      </c>
      <c r="DK25" s="104">
        <f>+DO25-DA25-DI25</f>
        <v>89.6</v>
      </c>
      <c r="DL25" s="104">
        <f>+DP25-DB25-DJ25</f>
        <v>0</v>
      </c>
      <c r="DM25" s="104">
        <f t="shared" si="2"/>
        <v>169.6</v>
      </c>
      <c r="DN25" s="104">
        <f t="shared" si="3"/>
        <v>0</v>
      </c>
      <c r="DO25" s="104">
        <v>400</v>
      </c>
      <c r="DQ25" s="104">
        <v>450</v>
      </c>
    </row>
    <row r="26" spans="1:124" ht="18.75">
      <c r="A26" s="18"/>
      <c r="B26" s="18" t="s">
        <v>39</v>
      </c>
      <c r="C26" s="19" t="s">
        <v>40</v>
      </c>
      <c r="D26" s="20" t="s">
        <v>30</v>
      </c>
      <c r="E26" s="21" t="s">
        <v>41</v>
      </c>
      <c r="F26" s="22">
        <v>22604.09</v>
      </c>
      <c r="G26" s="22">
        <v>18901.61</v>
      </c>
      <c r="H26" s="22">
        <v>22763.09</v>
      </c>
      <c r="I26" s="22">
        <v>18901.61</v>
      </c>
      <c r="J26" s="88">
        <f t="shared" ref="J26:AA26" si="75">+J24+J25</f>
        <v>25381.51</v>
      </c>
      <c r="K26" s="88">
        <f t="shared" si="75"/>
        <v>0</v>
      </c>
      <c r="L26" s="88">
        <f t="shared" si="75"/>
        <v>0</v>
      </c>
      <c r="M26" s="88">
        <f t="shared" si="75"/>
        <v>25381.51</v>
      </c>
      <c r="N26" s="88">
        <f t="shared" si="75"/>
        <v>126.47999999999999</v>
      </c>
      <c r="O26" s="88">
        <f t="shared" si="75"/>
        <v>0</v>
      </c>
      <c r="P26" s="88">
        <f t="shared" si="75"/>
        <v>0</v>
      </c>
      <c r="Q26" s="88">
        <f t="shared" si="75"/>
        <v>126.47999999999999</v>
      </c>
      <c r="R26" s="88">
        <f t="shared" si="75"/>
        <v>25507.989999999998</v>
      </c>
      <c r="S26" s="88">
        <f t="shared" si="75"/>
        <v>21000</v>
      </c>
      <c r="T26" s="88">
        <f t="shared" si="75"/>
        <v>0</v>
      </c>
      <c r="U26" s="88">
        <f t="shared" si="75"/>
        <v>0</v>
      </c>
      <c r="V26" s="88">
        <f t="shared" si="75"/>
        <v>24090.169999999995</v>
      </c>
      <c r="W26" s="88">
        <f t="shared" si="75"/>
        <v>19519.689999999999</v>
      </c>
      <c r="X26" s="88">
        <f t="shared" si="75"/>
        <v>1417.8200000000015</v>
      </c>
      <c r="Y26" s="88">
        <f t="shared" si="75"/>
        <v>1480.3100000000013</v>
      </c>
      <c r="Z26" s="88">
        <f t="shared" si="75"/>
        <v>24313.549999999996</v>
      </c>
      <c r="AA26" s="88">
        <f t="shared" si="75"/>
        <v>100</v>
      </c>
      <c r="AB26" s="22">
        <f t="shared" si="6"/>
        <v>24413.549999999996</v>
      </c>
      <c r="AC26" s="109">
        <f t="shared" si="7"/>
        <v>0</v>
      </c>
      <c r="AD26" s="22">
        <f t="shared" ref="AD26:CP26" si="76">+AD24+AD25</f>
        <v>24413.549999999996</v>
      </c>
      <c r="AE26" s="22">
        <f t="shared" si="76"/>
        <v>20019.689999999999</v>
      </c>
      <c r="AF26" s="22">
        <f t="shared" si="76"/>
        <v>18946.2</v>
      </c>
      <c r="AG26" s="22">
        <f t="shared" si="76"/>
        <v>6104</v>
      </c>
      <c r="AH26" s="22">
        <f t="shared" si="76"/>
        <v>5005</v>
      </c>
      <c r="AI26" s="118">
        <f t="shared" si="76"/>
        <v>2035</v>
      </c>
      <c r="AJ26" s="22">
        <f t="shared" si="76"/>
        <v>1668</v>
      </c>
      <c r="AK26" s="22">
        <f t="shared" si="76"/>
        <v>0</v>
      </c>
      <c r="AL26" s="22">
        <f t="shared" si="76"/>
        <v>0</v>
      </c>
      <c r="AM26" s="22">
        <f t="shared" si="76"/>
        <v>6103.39</v>
      </c>
      <c r="AN26" s="22">
        <f t="shared" si="76"/>
        <v>4874.79</v>
      </c>
      <c r="AO26" s="22">
        <f t="shared" si="76"/>
        <v>0</v>
      </c>
      <c r="AP26" s="22">
        <f t="shared" si="76"/>
        <v>0</v>
      </c>
      <c r="AQ26" s="22">
        <f t="shared" si="76"/>
        <v>12207.390000000001</v>
      </c>
      <c r="AR26" s="22">
        <f t="shared" si="76"/>
        <v>9879.7900000000009</v>
      </c>
      <c r="AS26" s="22">
        <f t="shared" si="76"/>
        <v>300</v>
      </c>
      <c r="AT26" s="22">
        <f t="shared" si="76"/>
        <v>0</v>
      </c>
      <c r="AU26" s="22">
        <f t="shared" si="76"/>
        <v>6859.6</v>
      </c>
      <c r="AV26" s="22">
        <f t="shared" si="76"/>
        <v>7000</v>
      </c>
      <c r="AW26" s="22">
        <f t="shared" si="76"/>
        <v>0</v>
      </c>
      <c r="AX26" s="22">
        <f t="shared" si="76"/>
        <v>0</v>
      </c>
      <c r="AY26" s="22">
        <f t="shared" si="76"/>
        <v>21401.99</v>
      </c>
      <c r="AZ26" s="22">
        <f t="shared" si="76"/>
        <v>18547.79</v>
      </c>
      <c r="BA26" s="22">
        <f t="shared" si="76"/>
        <v>39949.780000000006</v>
      </c>
      <c r="BB26" s="22">
        <f t="shared" si="76"/>
        <v>20144.580000000002</v>
      </c>
      <c r="BC26" s="22">
        <f t="shared" si="76"/>
        <v>18544.14</v>
      </c>
      <c r="BD26" s="22">
        <f t="shared" si="76"/>
        <v>1257.4100000000003</v>
      </c>
      <c r="BE26" s="22">
        <f t="shared" si="76"/>
        <v>3.6500000000014552</v>
      </c>
      <c r="BF26" s="22">
        <f t="shared" si="76"/>
        <v>4028.92</v>
      </c>
      <c r="BG26" s="118">
        <f t="shared" si="76"/>
        <v>3708.83</v>
      </c>
      <c r="BH26" s="118">
        <f t="shared" si="76"/>
        <v>2494.0099999999998</v>
      </c>
      <c r="BI26" s="118">
        <f t="shared" si="76"/>
        <v>2000</v>
      </c>
      <c r="BJ26" s="118">
        <f t="shared" si="76"/>
        <v>0</v>
      </c>
      <c r="BK26" s="118">
        <f t="shared" si="76"/>
        <v>0</v>
      </c>
      <c r="BL26" s="118">
        <f t="shared" si="76"/>
        <v>23896</v>
      </c>
      <c r="BM26" s="118">
        <f t="shared" si="76"/>
        <v>20547.79</v>
      </c>
      <c r="BN26" s="118">
        <f t="shared" si="76"/>
        <v>44443.79</v>
      </c>
      <c r="BO26" s="118">
        <f t="shared" si="76"/>
        <v>22395</v>
      </c>
      <c r="BP26" s="118">
        <f t="shared" si="76"/>
        <v>20023.29</v>
      </c>
      <c r="BQ26" s="22">
        <f t="shared" si="76"/>
        <v>1501.0000000000016</v>
      </c>
      <c r="BR26" s="22">
        <f t="shared" si="76"/>
        <v>524.5</v>
      </c>
      <c r="BS26" s="22">
        <f t="shared" si="76"/>
        <v>2035.9099999999999</v>
      </c>
      <c r="BT26" s="22">
        <f t="shared" si="76"/>
        <v>1820.3</v>
      </c>
      <c r="BU26" s="22">
        <f t="shared" si="76"/>
        <v>716.55000000000007</v>
      </c>
      <c r="BV26" s="22">
        <f t="shared" si="76"/>
        <v>1245.8</v>
      </c>
      <c r="BW26" s="22">
        <f t="shared" si="76"/>
        <v>1069.47</v>
      </c>
      <c r="BX26" s="22">
        <f t="shared" si="76"/>
        <v>404</v>
      </c>
      <c r="BY26" s="22">
        <f t="shared" si="76"/>
        <v>0</v>
      </c>
      <c r="BZ26" s="22">
        <f t="shared" si="76"/>
        <v>0</v>
      </c>
      <c r="CA26" s="22">
        <f t="shared" si="76"/>
        <v>25682.02</v>
      </c>
      <c r="CB26" s="22">
        <f t="shared" si="76"/>
        <v>22197.59</v>
      </c>
      <c r="CC26" s="22">
        <f t="shared" si="76"/>
        <v>28250.23</v>
      </c>
      <c r="CD26" s="118">
        <f t="shared" si="76"/>
        <v>25527.23</v>
      </c>
      <c r="CE26" s="190">
        <f t="shared" si="76"/>
        <v>2354</v>
      </c>
      <c r="CF26" s="190">
        <f t="shared" si="76"/>
        <v>2127</v>
      </c>
      <c r="CG26" s="190">
        <f t="shared" si="76"/>
        <v>6420.51</v>
      </c>
      <c r="CH26" s="190">
        <f t="shared" si="76"/>
        <v>5549.4</v>
      </c>
      <c r="CI26" s="190">
        <f t="shared" si="76"/>
        <v>0</v>
      </c>
      <c r="CJ26" s="190">
        <f t="shared" si="76"/>
        <v>0</v>
      </c>
      <c r="CK26" s="190">
        <f t="shared" si="76"/>
        <v>6565</v>
      </c>
      <c r="CL26" s="190">
        <f t="shared" si="76"/>
        <v>5500</v>
      </c>
      <c r="CM26" s="190">
        <f t="shared" si="76"/>
        <v>0</v>
      </c>
      <c r="CN26" s="190">
        <f t="shared" si="76"/>
        <v>0</v>
      </c>
      <c r="CO26" s="190">
        <f t="shared" si="76"/>
        <v>33848.82</v>
      </c>
      <c r="CP26" s="190">
        <f t="shared" si="76"/>
        <v>23023</v>
      </c>
      <c r="CQ26" s="190">
        <f t="shared" ref="CQ26:DO26" si="77">+CQ24+CQ25</f>
        <v>26260</v>
      </c>
      <c r="CR26" s="190">
        <f t="shared" si="77"/>
        <v>22000</v>
      </c>
      <c r="CS26" s="190">
        <f t="shared" si="77"/>
        <v>26238</v>
      </c>
      <c r="CT26" s="190">
        <f t="shared" si="77"/>
        <v>22000</v>
      </c>
      <c r="CU26" s="190">
        <f t="shared" si="77"/>
        <v>26329.41</v>
      </c>
      <c r="CV26" s="190">
        <f t="shared" si="77"/>
        <v>22000</v>
      </c>
      <c r="CW26" s="190">
        <f t="shared" si="77"/>
        <v>6559.5</v>
      </c>
      <c r="CX26" s="190">
        <f t="shared" si="77"/>
        <v>5500</v>
      </c>
      <c r="CY26" s="190">
        <f t="shared" si="77"/>
        <v>0</v>
      </c>
      <c r="CZ26" s="190">
        <f t="shared" si="77"/>
        <v>250</v>
      </c>
      <c r="DA26" s="190">
        <f t="shared" si="77"/>
        <v>15478.5</v>
      </c>
      <c r="DB26" s="190">
        <f t="shared" si="77"/>
        <v>13377</v>
      </c>
      <c r="DC26" s="190">
        <f t="shared" si="77"/>
        <v>14226.4</v>
      </c>
      <c r="DD26" s="190">
        <f t="shared" si="77"/>
        <v>13408.74</v>
      </c>
      <c r="DE26" s="190">
        <f t="shared" si="77"/>
        <v>1252.0999999999999</v>
      </c>
      <c r="DF26" s="190">
        <f t="shared" si="77"/>
        <v>-31.739999999999782</v>
      </c>
      <c r="DG26" s="190">
        <f t="shared" si="77"/>
        <v>6562.35</v>
      </c>
      <c r="DH26" s="190">
        <f t="shared" si="77"/>
        <v>5500</v>
      </c>
      <c r="DI26" s="190">
        <f t="shared" si="77"/>
        <v>5310.25</v>
      </c>
      <c r="DJ26" s="190">
        <f t="shared" si="77"/>
        <v>5531.74</v>
      </c>
      <c r="DK26" s="186">
        <f t="shared" si="77"/>
        <v>6660.6600000000008</v>
      </c>
      <c r="DL26" s="22">
        <f t="shared" si="77"/>
        <v>5091.26</v>
      </c>
      <c r="DM26" s="104">
        <f t="shared" si="2"/>
        <v>5540.66</v>
      </c>
      <c r="DN26" s="104">
        <f t="shared" si="3"/>
        <v>3091.26</v>
      </c>
      <c r="DO26" s="22">
        <f t="shared" si="77"/>
        <v>27449.41</v>
      </c>
      <c r="DP26" s="22">
        <f t="shared" ref="DP26:DS26" si="78">+DP24+DP25</f>
        <v>24000</v>
      </c>
      <c r="DQ26" s="22">
        <f t="shared" si="78"/>
        <v>30800.87</v>
      </c>
      <c r="DR26" s="22">
        <f t="shared" si="78"/>
        <v>25000</v>
      </c>
      <c r="DS26" s="22">
        <f t="shared" si="78"/>
        <v>0</v>
      </c>
    </row>
    <row r="27" spans="1:124" ht="18.75">
      <c r="A27" s="13">
        <v>16</v>
      </c>
      <c r="B27" s="13"/>
      <c r="C27" s="14"/>
      <c r="D27" s="140" t="s">
        <v>42</v>
      </c>
      <c r="E27" s="16"/>
      <c r="F27" s="81">
        <v>3298.83</v>
      </c>
      <c r="G27" s="81">
        <v>721.8</v>
      </c>
      <c r="H27" s="81">
        <v>3298.83</v>
      </c>
      <c r="I27" s="17">
        <v>721.8</v>
      </c>
      <c r="J27" s="86">
        <v>3600</v>
      </c>
      <c r="K27" s="87">
        <v>150</v>
      </c>
      <c r="L27" s="87">
        <v>0</v>
      </c>
      <c r="M27" s="87">
        <f t="shared" si="66"/>
        <v>3750</v>
      </c>
      <c r="N27" s="87">
        <v>0</v>
      </c>
      <c r="O27" s="87">
        <v>0</v>
      </c>
      <c r="P27" s="87">
        <v>0</v>
      </c>
      <c r="Q27" s="87">
        <f t="shared" ref="Q27:Q35" si="79">N27+O27+P27</f>
        <v>0</v>
      </c>
      <c r="R27" s="87">
        <f t="shared" si="63"/>
        <v>3750</v>
      </c>
      <c r="S27" s="87">
        <v>850</v>
      </c>
      <c r="V27" s="17">
        <f>ROUND(H27*1.0583,2)</f>
        <v>3491.15</v>
      </c>
      <c r="W27" s="17">
        <f>ROUND(I27*1.0327,2)</f>
        <v>745.4</v>
      </c>
      <c r="X27" s="108">
        <f t="shared" si="4"/>
        <v>258.84999999999991</v>
      </c>
      <c r="Y27" s="108">
        <f t="shared" si="5"/>
        <v>104.60000000000002</v>
      </c>
      <c r="Z27" s="108">
        <v>3491.15</v>
      </c>
      <c r="AA27" s="108"/>
      <c r="AB27" s="108">
        <f t="shared" si="6"/>
        <v>3491.15</v>
      </c>
      <c r="AC27" s="109">
        <f t="shared" si="7"/>
        <v>0</v>
      </c>
      <c r="AD27" s="108">
        <f>IF(X27&gt;0,V27,R27)</f>
        <v>3491.15</v>
      </c>
      <c r="AE27" s="108">
        <f>IF(Y27&gt;0,W27,S27)</f>
        <v>745.4</v>
      </c>
      <c r="AF27" s="108">
        <f t="shared" si="8"/>
        <v>766.87</v>
      </c>
      <c r="AG27" s="108">
        <f t="shared" si="9"/>
        <v>873</v>
      </c>
      <c r="AH27" s="108">
        <f t="shared" si="46"/>
        <v>186</v>
      </c>
      <c r="AI27" s="127">
        <f t="shared" si="10"/>
        <v>291</v>
      </c>
      <c r="AJ27" s="108">
        <f t="shared" si="11"/>
        <v>62</v>
      </c>
      <c r="AM27" s="108">
        <f t="shared" si="12"/>
        <v>872.79</v>
      </c>
      <c r="AN27" s="108">
        <f t="shared" si="13"/>
        <v>181.5</v>
      </c>
      <c r="AQ27" s="108">
        <f t="shared" si="14"/>
        <v>1745.79</v>
      </c>
      <c r="AR27" s="108">
        <f t="shared" si="15"/>
        <v>367.5</v>
      </c>
      <c r="AU27" s="108">
        <f t="shared" si="0"/>
        <v>872.79</v>
      </c>
      <c r="AV27" s="108">
        <f t="shared" si="16"/>
        <v>186.35</v>
      </c>
      <c r="AY27" s="108">
        <f t="shared" si="17"/>
        <v>2909.58</v>
      </c>
      <c r="AZ27" s="108">
        <f t="shared" si="18"/>
        <v>615.85</v>
      </c>
      <c r="BA27" s="108">
        <f t="shared" si="19"/>
        <v>3525.43</v>
      </c>
      <c r="BB27" s="139">
        <v>2654.47</v>
      </c>
      <c r="BC27" s="139">
        <v>518.4</v>
      </c>
      <c r="BD27" s="139">
        <f t="shared" si="20"/>
        <v>255.11000000000013</v>
      </c>
      <c r="BE27" s="139">
        <f t="shared" si="21"/>
        <v>97.450000000000045</v>
      </c>
      <c r="BF27" s="139">
        <f t="shared" si="22"/>
        <v>530.89</v>
      </c>
      <c r="BG27" s="139">
        <f t="shared" si="23"/>
        <v>103.68</v>
      </c>
      <c r="BH27" s="108">
        <v>137.88999999999999</v>
      </c>
      <c r="BI27" s="108">
        <v>3.12</v>
      </c>
      <c r="BL27" s="108">
        <f t="shared" si="1"/>
        <v>3047.47</v>
      </c>
      <c r="BM27" s="108">
        <f t="shared" si="24"/>
        <v>618.97</v>
      </c>
      <c r="BN27" s="108">
        <f t="shared" si="25"/>
        <v>3666.4399999999996</v>
      </c>
      <c r="BO27" s="108">
        <v>2935.25</v>
      </c>
      <c r="BP27" s="127">
        <v>558.62</v>
      </c>
      <c r="BQ27" s="108">
        <f t="shared" si="26"/>
        <v>112.2199999999998</v>
      </c>
      <c r="BR27" s="108">
        <f t="shared" si="27"/>
        <v>60.350000000000023</v>
      </c>
      <c r="BS27" s="108">
        <f t="shared" si="28"/>
        <v>266.83999999999997</v>
      </c>
      <c r="BT27" s="108">
        <f t="shared" si="29"/>
        <v>50.78</v>
      </c>
      <c r="BU27" s="108">
        <f t="shared" si="47"/>
        <v>154.62000000000018</v>
      </c>
      <c r="BV27" s="108">
        <v>0</v>
      </c>
      <c r="BW27" s="109">
        <v>15</v>
      </c>
      <c r="BX27" s="108">
        <f>55+2.67</f>
        <v>57.67</v>
      </c>
      <c r="CA27" s="108">
        <v>3217.09</v>
      </c>
      <c r="CB27" s="108">
        <v>676.64</v>
      </c>
      <c r="CC27">
        <v>3538.8</v>
      </c>
      <c r="CD27">
        <v>778.14</v>
      </c>
      <c r="CE27" s="189">
        <v>295</v>
      </c>
      <c r="CF27" s="189">
        <v>65</v>
      </c>
      <c r="CG27" s="189">
        <f t="shared" si="31"/>
        <v>804.27</v>
      </c>
      <c r="CH27" s="189">
        <f t="shared" si="32"/>
        <v>169.16</v>
      </c>
      <c r="CI27" s="150"/>
      <c r="CJ27" s="150"/>
      <c r="CK27" s="150">
        <v>800</v>
      </c>
      <c r="CL27" s="150">
        <v>150</v>
      </c>
      <c r="CM27" s="150">
        <v>50</v>
      </c>
      <c r="CN27" s="150"/>
      <c r="CO27" s="150">
        <v>3850</v>
      </c>
      <c r="CP27" s="150">
        <v>750</v>
      </c>
      <c r="CQ27" s="150">
        <f t="shared" si="33"/>
        <v>3200</v>
      </c>
      <c r="CR27" s="150">
        <f t="shared" si="34"/>
        <v>600</v>
      </c>
      <c r="CS27" s="150">
        <v>3200</v>
      </c>
      <c r="CT27" s="150">
        <v>600</v>
      </c>
      <c r="CU27" s="150">
        <v>3200</v>
      </c>
      <c r="CV27" s="150">
        <v>600</v>
      </c>
      <c r="CW27" s="150">
        <f t="shared" si="37"/>
        <v>800</v>
      </c>
      <c r="CX27" s="150">
        <f>ROUND(CV27*25%,2)-85</f>
        <v>65</v>
      </c>
      <c r="CY27" s="150">
        <v>50</v>
      </c>
      <c r="CZ27" s="150">
        <v>0</v>
      </c>
      <c r="DA27" s="150">
        <f t="shared" si="39"/>
        <v>1995</v>
      </c>
      <c r="DB27" s="150">
        <f t="shared" si="40"/>
        <v>280</v>
      </c>
      <c r="DC27" s="150">
        <v>1911.83</v>
      </c>
      <c r="DD27" s="150">
        <v>129.68</v>
      </c>
      <c r="DE27" s="150">
        <f t="shared" si="41"/>
        <v>83.170000000000073</v>
      </c>
      <c r="DF27" s="150">
        <f t="shared" si="42"/>
        <v>150.32</v>
      </c>
      <c r="DG27" s="150">
        <f>ROUND(0.25*(MIN(CU27,DO27)),2)</f>
        <v>800</v>
      </c>
      <c r="DH27" s="150">
        <f>ROUND(0.25*(MIN(CV27,DP27)),2)</f>
        <v>86.25</v>
      </c>
      <c r="DI27" s="150">
        <f>+DG27-DE27</f>
        <v>716.82999999999993</v>
      </c>
      <c r="DJ27" s="150">
        <f>+DH27-DF27+64.07</f>
        <v>0</v>
      </c>
      <c r="DK27" s="104">
        <f>+DO27-DA27-DI27</f>
        <v>688.17000000000007</v>
      </c>
      <c r="DL27" s="104">
        <f>+DP27-DB27-DJ27</f>
        <v>65</v>
      </c>
      <c r="DM27" s="104">
        <f t="shared" si="2"/>
        <v>488.17000000000007</v>
      </c>
      <c r="DN27" s="104">
        <f t="shared" si="3"/>
        <v>320</v>
      </c>
      <c r="DO27" s="104">
        <v>3400</v>
      </c>
      <c r="DP27" s="104">
        <v>345</v>
      </c>
      <c r="DQ27" s="104">
        <v>3800</v>
      </c>
      <c r="DR27" s="104">
        <v>720</v>
      </c>
    </row>
    <row r="28" spans="1:124" ht="37.5">
      <c r="A28" s="13">
        <v>17</v>
      </c>
      <c r="B28" s="13"/>
      <c r="C28" s="14"/>
      <c r="D28" s="15" t="s">
        <v>43</v>
      </c>
      <c r="E28" s="16"/>
      <c r="F28" s="81">
        <v>1030.97</v>
      </c>
      <c r="G28" s="81">
        <v>0</v>
      </c>
      <c r="H28" s="81">
        <v>1030.97</v>
      </c>
      <c r="I28" s="17">
        <v>0</v>
      </c>
      <c r="J28" s="86">
        <v>1250</v>
      </c>
      <c r="K28" s="87">
        <v>0</v>
      </c>
      <c r="L28" s="87">
        <v>0</v>
      </c>
      <c r="M28" s="87">
        <f t="shared" si="66"/>
        <v>1250</v>
      </c>
      <c r="N28" s="87">
        <v>0</v>
      </c>
      <c r="O28" s="87">
        <v>0</v>
      </c>
      <c r="P28" s="87">
        <v>0</v>
      </c>
      <c r="Q28" s="87">
        <f t="shared" si="79"/>
        <v>0</v>
      </c>
      <c r="R28" s="87">
        <f t="shared" si="63"/>
        <v>1250</v>
      </c>
      <c r="S28" s="87">
        <v>0</v>
      </c>
      <c r="V28" s="17">
        <f>ROUND(H28*1.0583,2)</f>
        <v>1091.08</v>
      </c>
      <c r="W28" s="17">
        <f>ROUND(I28*1.0327,2)</f>
        <v>0</v>
      </c>
      <c r="X28" s="108">
        <f t="shared" si="4"/>
        <v>158.92000000000007</v>
      </c>
      <c r="Y28" s="108">
        <f t="shared" si="5"/>
        <v>0</v>
      </c>
      <c r="Z28" s="108">
        <v>1091.08</v>
      </c>
      <c r="AA28" s="108"/>
      <c r="AB28" s="108">
        <f t="shared" si="6"/>
        <v>1091.08</v>
      </c>
      <c r="AC28" s="109">
        <f t="shared" si="7"/>
        <v>0</v>
      </c>
      <c r="AD28" s="108">
        <f>IF(X28&gt;0,V28,R28)</f>
        <v>1091.08</v>
      </c>
      <c r="AE28" s="108">
        <f>IF(Y28&gt;0,W28,S28)</f>
        <v>0</v>
      </c>
      <c r="AF28" s="108">
        <f t="shared" si="8"/>
        <v>0</v>
      </c>
      <c r="AG28" s="108">
        <f t="shared" si="9"/>
        <v>273</v>
      </c>
      <c r="AH28" s="108">
        <f t="shared" si="46"/>
        <v>0</v>
      </c>
      <c r="AI28" s="127">
        <f t="shared" si="10"/>
        <v>91</v>
      </c>
      <c r="AJ28" s="108">
        <f t="shared" si="11"/>
        <v>0</v>
      </c>
      <c r="AM28" s="108">
        <f t="shared" si="12"/>
        <v>272.77</v>
      </c>
      <c r="AN28" s="108">
        <f t="shared" si="13"/>
        <v>0</v>
      </c>
      <c r="AQ28" s="108">
        <f t="shared" si="14"/>
        <v>545.77</v>
      </c>
      <c r="AR28" s="108">
        <f t="shared" si="15"/>
        <v>0</v>
      </c>
      <c r="AU28" s="108">
        <f t="shared" si="0"/>
        <v>272.77</v>
      </c>
      <c r="AV28" s="108">
        <f t="shared" si="16"/>
        <v>0</v>
      </c>
      <c r="AY28" s="108">
        <f t="shared" si="17"/>
        <v>909.54</v>
      </c>
      <c r="AZ28" s="108">
        <f t="shared" si="18"/>
        <v>0</v>
      </c>
      <c r="BA28" s="108">
        <f t="shared" si="19"/>
        <v>909.54</v>
      </c>
      <c r="BB28" s="139">
        <v>856</v>
      </c>
      <c r="BD28" s="139">
        <f t="shared" si="20"/>
        <v>53.539999999999964</v>
      </c>
      <c r="BE28" s="139">
        <f t="shared" si="21"/>
        <v>0</v>
      </c>
      <c r="BF28" s="139">
        <f t="shared" si="22"/>
        <v>171.2</v>
      </c>
      <c r="BG28" s="139">
        <f t="shared" si="23"/>
        <v>0</v>
      </c>
      <c r="BH28" s="109">
        <v>30.23</v>
      </c>
      <c r="BI28" s="108">
        <v>0</v>
      </c>
      <c r="BL28" s="108">
        <f t="shared" si="1"/>
        <v>939.77</v>
      </c>
      <c r="BM28" s="108">
        <f t="shared" si="24"/>
        <v>0</v>
      </c>
      <c r="BN28" s="108">
        <f t="shared" si="25"/>
        <v>939.77</v>
      </c>
      <c r="BO28" s="108">
        <v>856</v>
      </c>
      <c r="BP28" s="127"/>
      <c r="BQ28" s="108">
        <f t="shared" si="26"/>
        <v>83.769999999999982</v>
      </c>
      <c r="BR28" s="108">
        <f t="shared" si="27"/>
        <v>0</v>
      </c>
      <c r="BS28" s="108">
        <f t="shared" si="28"/>
        <v>77.819999999999993</v>
      </c>
      <c r="BT28" s="108">
        <f t="shared" si="29"/>
        <v>0</v>
      </c>
      <c r="BU28" s="108">
        <v>-5.95</v>
      </c>
      <c r="BV28" s="108">
        <f t="shared" si="65"/>
        <v>0</v>
      </c>
      <c r="BW28" s="109">
        <v>4.88</v>
      </c>
      <c r="CA28" s="108">
        <v>938.69999999999993</v>
      </c>
      <c r="CB28" s="108">
        <v>0</v>
      </c>
      <c r="CC28">
        <v>1032.57</v>
      </c>
      <c r="CD28">
        <v>0</v>
      </c>
      <c r="CE28" s="189">
        <v>86</v>
      </c>
      <c r="CF28" s="189">
        <v>0</v>
      </c>
      <c r="CG28" s="189">
        <f t="shared" si="31"/>
        <v>234.68</v>
      </c>
      <c r="CH28" s="189">
        <f t="shared" si="32"/>
        <v>0</v>
      </c>
      <c r="CI28" s="150"/>
      <c r="CJ28" s="150"/>
      <c r="CK28" s="150">
        <v>200</v>
      </c>
      <c r="CL28" s="150"/>
      <c r="CM28" s="150"/>
      <c r="CN28" s="150"/>
      <c r="CO28" s="150">
        <v>1100</v>
      </c>
      <c r="CP28" s="150"/>
      <c r="CQ28" s="150">
        <f t="shared" si="33"/>
        <v>800</v>
      </c>
      <c r="CR28" s="150">
        <f t="shared" si="34"/>
        <v>0</v>
      </c>
      <c r="CS28" s="150">
        <v>800</v>
      </c>
      <c r="CT28" s="150">
        <v>0</v>
      </c>
      <c r="CU28" s="150">
        <v>800</v>
      </c>
      <c r="CV28" s="150">
        <v>0</v>
      </c>
      <c r="CW28" s="150">
        <f t="shared" si="37"/>
        <v>200</v>
      </c>
      <c r="CX28" s="150">
        <f t="shared" si="38"/>
        <v>0</v>
      </c>
      <c r="CY28" s="150"/>
      <c r="CZ28" s="150"/>
      <c r="DA28" s="150">
        <f t="shared" si="39"/>
        <v>486</v>
      </c>
      <c r="DB28" s="150">
        <f t="shared" si="40"/>
        <v>0</v>
      </c>
      <c r="DC28" s="150">
        <v>476</v>
      </c>
      <c r="DD28" s="150">
        <v>0</v>
      </c>
      <c r="DE28" s="150">
        <f t="shared" si="41"/>
        <v>10</v>
      </c>
      <c r="DF28" s="150">
        <f t="shared" si="42"/>
        <v>0</v>
      </c>
      <c r="DG28" s="150">
        <f>ROUND(0.25*(MIN(CU28,DO28)),2)</f>
        <v>200</v>
      </c>
      <c r="DH28" s="150">
        <f>ROUND(0.25*(MIN(CV28,DP28)),2)</f>
        <v>0</v>
      </c>
      <c r="DI28" s="150">
        <f>+DG28-DE28</f>
        <v>190</v>
      </c>
      <c r="DJ28" s="150">
        <f>+DH28-DF28</f>
        <v>0</v>
      </c>
      <c r="DK28" s="104">
        <f>+DO28-DA28-DI28</f>
        <v>324</v>
      </c>
      <c r="DL28" s="104">
        <f>+DP28-DB28-DJ28</f>
        <v>0</v>
      </c>
      <c r="DM28" s="104">
        <f t="shared" si="2"/>
        <v>124</v>
      </c>
      <c r="DN28" s="104">
        <f t="shared" si="3"/>
        <v>0</v>
      </c>
      <c r="DO28" s="104">
        <f>100+900</f>
        <v>1000</v>
      </c>
      <c r="DQ28" s="178">
        <f>110+960</f>
        <v>1070</v>
      </c>
    </row>
    <row r="29" spans="1:124" ht="18.75">
      <c r="A29" s="18"/>
      <c r="B29" s="18" t="s">
        <v>44</v>
      </c>
      <c r="C29" s="19" t="s">
        <v>45</v>
      </c>
      <c r="D29" s="20" t="s">
        <v>42</v>
      </c>
      <c r="E29" s="21" t="s">
        <v>46</v>
      </c>
      <c r="F29" s="22">
        <v>4329.8</v>
      </c>
      <c r="G29" s="22">
        <v>721.8</v>
      </c>
      <c r="H29" s="22">
        <v>4329.8</v>
      </c>
      <c r="I29" s="22">
        <v>721.8</v>
      </c>
      <c r="J29" s="88">
        <f t="shared" ref="J29:AA29" si="80">+J27+J28</f>
        <v>4850</v>
      </c>
      <c r="K29" s="88">
        <f t="shared" si="80"/>
        <v>150</v>
      </c>
      <c r="L29" s="88">
        <f t="shared" si="80"/>
        <v>0</v>
      </c>
      <c r="M29" s="88">
        <f t="shared" si="80"/>
        <v>5000</v>
      </c>
      <c r="N29" s="88">
        <f t="shared" si="80"/>
        <v>0</v>
      </c>
      <c r="O29" s="88">
        <f t="shared" si="80"/>
        <v>0</v>
      </c>
      <c r="P29" s="88">
        <f t="shared" si="80"/>
        <v>0</v>
      </c>
      <c r="Q29" s="88">
        <f t="shared" si="80"/>
        <v>0</v>
      </c>
      <c r="R29" s="88">
        <f t="shared" si="80"/>
        <v>5000</v>
      </c>
      <c r="S29" s="88">
        <f t="shared" si="80"/>
        <v>850</v>
      </c>
      <c r="T29" s="88">
        <f t="shared" si="80"/>
        <v>0</v>
      </c>
      <c r="U29" s="88">
        <f t="shared" si="80"/>
        <v>0</v>
      </c>
      <c r="V29" s="88">
        <f t="shared" si="80"/>
        <v>4582.2299999999996</v>
      </c>
      <c r="W29" s="88">
        <f t="shared" si="80"/>
        <v>745.4</v>
      </c>
      <c r="X29" s="88">
        <f t="shared" si="80"/>
        <v>417.77</v>
      </c>
      <c r="Y29" s="88">
        <f t="shared" si="80"/>
        <v>104.60000000000002</v>
      </c>
      <c r="Z29" s="88">
        <f t="shared" si="80"/>
        <v>4582.2299999999996</v>
      </c>
      <c r="AA29" s="88">
        <f t="shared" si="80"/>
        <v>0</v>
      </c>
      <c r="AB29" s="22">
        <f t="shared" si="6"/>
        <v>4582.2299999999996</v>
      </c>
      <c r="AC29" s="109">
        <f t="shared" si="7"/>
        <v>0</v>
      </c>
      <c r="AD29" s="22">
        <f t="shared" ref="AD29:CP29" si="81">+AD27+AD28</f>
        <v>4582.2299999999996</v>
      </c>
      <c r="AE29" s="22">
        <f t="shared" si="81"/>
        <v>745.4</v>
      </c>
      <c r="AF29" s="22">
        <f t="shared" si="81"/>
        <v>766.87</v>
      </c>
      <c r="AG29" s="22">
        <f t="shared" si="81"/>
        <v>1146</v>
      </c>
      <c r="AH29" s="22">
        <f t="shared" si="81"/>
        <v>186</v>
      </c>
      <c r="AI29" s="118">
        <f t="shared" si="81"/>
        <v>382</v>
      </c>
      <c r="AJ29" s="22">
        <f t="shared" si="81"/>
        <v>62</v>
      </c>
      <c r="AK29" s="22">
        <f t="shared" si="81"/>
        <v>0</v>
      </c>
      <c r="AL29" s="22">
        <f t="shared" si="81"/>
        <v>0</v>
      </c>
      <c r="AM29" s="22">
        <f t="shared" si="81"/>
        <v>1145.56</v>
      </c>
      <c r="AN29" s="22">
        <f t="shared" si="81"/>
        <v>181.5</v>
      </c>
      <c r="AO29" s="22">
        <f t="shared" si="81"/>
        <v>0</v>
      </c>
      <c r="AP29" s="22">
        <f t="shared" si="81"/>
        <v>0</v>
      </c>
      <c r="AQ29" s="22">
        <f t="shared" si="81"/>
        <v>2291.56</v>
      </c>
      <c r="AR29" s="22">
        <f t="shared" si="81"/>
        <v>367.5</v>
      </c>
      <c r="AS29" s="22">
        <f t="shared" si="81"/>
        <v>0</v>
      </c>
      <c r="AT29" s="22">
        <f t="shared" si="81"/>
        <v>0</v>
      </c>
      <c r="AU29" s="22">
        <f t="shared" si="81"/>
        <v>1145.56</v>
      </c>
      <c r="AV29" s="22">
        <f t="shared" si="81"/>
        <v>186.35</v>
      </c>
      <c r="AW29" s="22">
        <f t="shared" si="81"/>
        <v>0</v>
      </c>
      <c r="AX29" s="22">
        <f t="shared" si="81"/>
        <v>0</v>
      </c>
      <c r="AY29" s="22">
        <f t="shared" si="81"/>
        <v>3819.12</v>
      </c>
      <c r="AZ29" s="22">
        <f t="shared" si="81"/>
        <v>615.85</v>
      </c>
      <c r="BA29" s="22">
        <f t="shared" si="81"/>
        <v>4434.9699999999993</v>
      </c>
      <c r="BB29" s="22">
        <f t="shared" si="81"/>
        <v>3510.47</v>
      </c>
      <c r="BC29" s="22">
        <f t="shared" si="81"/>
        <v>518.4</v>
      </c>
      <c r="BD29" s="22">
        <f t="shared" si="81"/>
        <v>308.65000000000009</v>
      </c>
      <c r="BE29" s="22">
        <f t="shared" si="81"/>
        <v>97.450000000000045</v>
      </c>
      <c r="BF29" s="22">
        <f t="shared" si="81"/>
        <v>702.08999999999992</v>
      </c>
      <c r="BG29" s="118">
        <f t="shared" si="81"/>
        <v>103.68</v>
      </c>
      <c r="BH29" s="118">
        <f t="shared" si="81"/>
        <v>168.11999999999998</v>
      </c>
      <c r="BI29" s="118">
        <f t="shared" si="81"/>
        <v>3.12</v>
      </c>
      <c r="BJ29" s="118">
        <f t="shared" si="81"/>
        <v>0</v>
      </c>
      <c r="BK29" s="118">
        <f t="shared" si="81"/>
        <v>0</v>
      </c>
      <c r="BL29" s="118">
        <f t="shared" si="81"/>
        <v>3987.24</v>
      </c>
      <c r="BM29" s="118">
        <f t="shared" si="81"/>
        <v>618.97</v>
      </c>
      <c r="BN29" s="118">
        <f t="shared" si="81"/>
        <v>4606.2099999999991</v>
      </c>
      <c r="BO29" s="118">
        <f t="shared" si="81"/>
        <v>3791.25</v>
      </c>
      <c r="BP29" s="118">
        <f t="shared" si="81"/>
        <v>558.62</v>
      </c>
      <c r="BQ29" s="22">
        <f t="shared" si="81"/>
        <v>195.98999999999978</v>
      </c>
      <c r="BR29" s="22">
        <f t="shared" si="81"/>
        <v>60.350000000000023</v>
      </c>
      <c r="BS29" s="22">
        <f t="shared" si="81"/>
        <v>344.65999999999997</v>
      </c>
      <c r="BT29" s="22">
        <f t="shared" si="81"/>
        <v>50.78</v>
      </c>
      <c r="BU29" s="22">
        <f t="shared" si="81"/>
        <v>148.67000000000019</v>
      </c>
      <c r="BV29" s="22">
        <f t="shared" si="81"/>
        <v>0</v>
      </c>
      <c r="BW29" s="22">
        <f t="shared" si="81"/>
        <v>19.88</v>
      </c>
      <c r="BX29" s="22">
        <f t="shared" si="81"/>
        <v>57.67</v>
      </c>
      <c r="BY29" s="22">
        <f t="shared" si="81"/>
        <v>0</v>
      </c>
      <c r="BZ29" s="22">
        <f t="shared" si="81"/>
        <v>0</v>
      </c>
      <c r="CA29" s="22">
        <f t="shared" si="81"/>
        <v>4155.79</v>
      </c>
      <c r="CB29" s="22">
        <f t="shared" si="81"/>
        <v>676.64</v>
      </c>
      <c r="CC29" s="22">
        <f t="shared" si="81"/>
        <v>4571.37</v>
      </c>
      <c r="CD29" s="118">
        <f t="shared" si="81"/>
        <v>778.14</v>
      </c>
      <c r="CE29" s="190">
        <f t="shared" si="81"/>
        <v>381</v>
      </c>
      <c r="CF29" s="190">
        <f t="shared" si="81"/>
        <v>65</v>
      </c>
      <c r="CG29" s="190">
        <f t="shared" si="81"/>
        <v>1038.95</v>
      </c>
      <c r="CH29" s="190">
        <f t="shared" si="81"/>
        <v>169.16</v>
      </c>
      <c r="CI29" s="190">
        <f t="shared" si="81"/>
        <v>0</v>
      </c>
      <c r="CJ29" s="190">
        <f t="shared" si="81"/>
        <v>0</v>
      </c>
      <c r="CK29" s="190">
        <f t="shared" si="81"/>
        <v>1000</v>
      </c>
      <c r="CL29" s="190">
        <f t="shared" si="81"/>
        <v>150</v>
      </c>
      <c r="CM29" s="190">
        <f t="shared" si="81"/>
        <v>50</v>
      </c>
      <c r="CN29" s="190">
        <f t="shared" si="81"/>
        <v>0</v>
      </c>
      <c r="CO29" s="190">
        <f t="shared" si="81"/>
        <v>4950</v>
      </c>
      <c r="CP29" s="190">
        <f t="shared" si="81"/>
        <v>750</v>
      </c>
      <c r="CQ29" s="190">
        <f t="shared" ref="CQ29:DQ29" si="82">+CQ27+CQ28</f>
        <v>4000</v>
      </c>
      <c r="CR29" s="190">
        <f t="shared" si="82"/>
        <v>600</v>
      </c>
      <c r="CS29" s="190">
        <f t="shared" si="82"/>
        <v>4000</v>
      </c>
      <c r="CT29" s="190">
        <f t="shared" si="82"/>
        <v>600</v>
      </c>
      <c r="CU29" s="190">
        <f t="shared" si="82"/>
        <v>4000</v>
      </c>
      <c r="CV29" s="190">
        <f t="shared" si="82"/>
        <v>600</v>
      </c>
      <c r="CW29" s="190">
        <f t="shared" si="82"/>
        <v>1000</v>
      </c>
      <c r="CX29" s="190">
        <f t="shared" si="82"/>
        <v>65</v>
      </c>
      <c r="CY29" s="190">
        <f t="shared" si="82"/>
        <v>50</v>
      </c>
      <c r="CZ29" s="190">
        <f t="shared" si="82"/>
        <v>0</v>
      </c>
      <c r="DA29" s="190">
        <f t="shared" si="82"/>
        <v>2481</v>
      </c>
      <c r="DB29" s="190">
        <f t="shared" si="82"/>
        <v>280</v>
      </c>
      <c r="DC29" s="190">
        <f t="shared" si="82"/>
        <v>2387.83</v>
      </c>
      <c r="DD29" s="190">
        <f t="shared" si="82"/>
        <v>129.68</v>
      </c>
      <c r="DE29" s="190">
        <f t="shared" si="82"/>
        <v>93.170000000000073</v>
      </c>
      <c r="DF29" s="190">
        <f t="shared" si="82"/>
        <v>150.32</v>
      </c>
      <c r="DG29" s="190">
        <f t="shared" si="82"/>
        <v>1000</v>
      </c>
      <c r="DH29" s="190">
        <f t="shared" si="82"/>
        <v>86.25</v>
      </c>
      <c r="DI29" s="190">
        <f t="shared" si="82"/>
        <v>906.82999999999993</v>
      </c>
      <c r="DJ29" s="190">
        <f t="shared" si="82"/>
        <v>0</v>
      </c>
      <c r="DK29" s="186">
        <f t="shared" si="82"/>
        <v>1012.1700000000001</v>
      </c>
      <c r="DL29" s="22">
        <f t="shared" si="82"/>
        <v>65</v>
      </c>
      <c r="DM29" s="104">
        <f t="shared" si="2"/>
        <v>612.17000000000007</v>
      </c>
      <c r="DN29" s="104">
        <f t="shared" si="3"/>
        <v>320</v>
      </c>
      <c r="DO29" s="22">
        <f t="shared" si="82"/>
        <v>4400</v>
      </c>
      <c r="DP29" s="22">
        <f t="shared" si="82"/>
        <v>345</v>
      </c>
      <c r="DQ29" s="22">
        <f t="shared" si="82"/>
        <v>4870</v>
      </c>
      <c r="DR29" s="22">
        <f t="shared" ref="DR29:DT29" si="83">+DR27+DR28</f>
        <v>720</v>
      </c>
      <c r="DS29" s="22">
        <f t="shared" si="83"/>
        <v>0</v>
      </c>
      <c r="DT29" s="22">
        <f t="shared" si="83"/>
        <v>0</v>
      </c>
    </row>
    <row r="30" spans="1:124" ht="18.75">
      <c r="A30" s="13">
        <v>18</v>
      </c>
      <c r="B30" s="13"/>
      <c r="C30" s="14"/>
      <c r="D30" s="15" t="s">
        <v>47</v>
      </c>
      <c r="E30" s="16"/>
      <c r="F30" s="81">
        <v>2448.9699999999998</v>
      </c>
      <c r="G30" s="81">
        <v>224.26999999999998</v>
      </c>
      <c r="H30" s="81">
        <v>2448.9699999999998</v>
      </c>
      <c r="I30" s="17">
        <v>224.26999999999998</v>
      </c>
      <c r="J30" s="86">
        <v>2700</v>
      </c>
      <c r="K30" s="87">
        <v>0</v>
      </c>
      <c r="L30" s="87">
        <v>0</v>
      </c>
      <c r="M30" s="87">
        <f t="shared" si="66"/>
        <v>2700</v>
      </c>
      <c r="N30" s="87">
        <v>0</v>
      </c>
      <c r="O30" s="87">
        <v>0</v>
      </c>
      <c r="P30" s="87">
        <v>0</v>
      </c>
      <c r="Q30" s="87">
        <f t="shared" si="79"/>
        <v>0</v>
      </c>
      <c r="R30" s="87">
        <f t="shared" si="63"/>
        <v>2700</v>
      </c>
      <c r="S30" s="87">
        <v>250</v>
      </c>
      <c r="V30" s="17">
        <f>ROUND(H30*1.0583,2)</f>
        <v>2591.7399999999998</v>
      </c>
      <c r="W30" s="17">
        <f>ROUND(I30*1.0327,2)</f>
        <v>231.6</v>
      </c>
      <c r="X30" s="108">
        <f t="shared" si="4"/>
        <v>108.26000000000022</v>
      </c>
      <c r="Y30" s="108">
        <f t="shared" si="5"/>
        <v>18.400000000000006</v>
      </c>
      <c r="Z30" s="108">
        <v>2591.7399999999998</v>
      </c>
      <c r="AA30" s="108"/>
      <c r="AB30" s="108">
        <f t="shared" si="6"/>
        <v>2591.7399999999998</v>
      </c>
      <c r="AC30" s="109">
        <v>0</v>
      </c>
      <c r="AD30" s="108">
        <f>IF(X30&gt;0,V30,R30)</f>
        <v>2591.7399999999998</v>
      </c>
      <c r="AE30" s="108">
        <f>IF(Y30&gt;0,W30,S30)</f>
        <v>231.6</v>
      </c>
      <c r="AF30" s="108">
        <f t="shared" si="8"/>
        <v>225.55</v>
      </c>
      <c r="AG30" s="108">
        <f t="shared" si="9"/>
        <v>648</v>
      </c>
      <c r="AH30" s="108">
        <f t="shared" si="46"/>
        <v>58</v>
      </c>
      <c r="AI30" s="127">
        <f t="shared" si="10"/>
        <v>216</v>
      </c>
      <c r="AJ30" s="108">
        <f t="shared" si="11"/>
        <v>19</v>
      </c>
      <c r="AM30" s="108">
        <f t="shared" si="12"/>
        <v>647.94000000000005</v>
      </c>
      <c r="AN30" s="108">
        <f t="shared" si="13"/>
        <v>56.39</v>
      </c>
      <c r="AQ30" s="116">
        <f t="shared" si="14"/>
        <v>1295.94</v>
      </c>
      <c r="AR30" s="116">
        <f t="shared" si="15"/>
        <v>114.39</v>
      </c>
      <c r="AS30" s="116"/>
      <c r="AT30" s="116"/>
      <c r="AU30" s="116">
        <f t="shared" si="0"/>
        <v>647.94000000000005</v>
      </c>
      <c r="AV30" s="116">
        <v>165</v>
      </c>
      <c r="AW30" s="116"/>
      <c r="AX30" s="116"/>
      <c r="AY30" s="108">
        <f t="shared" si="17"/>
        <v>2159.88</v>
      </c>
      <c r="AZ30" s="108">
        <f t="shared" si="18"/>
        <v>298.39</v>
      </c>
      <c r="BA30" s="108">
        <f t="shared" si="19"/>
        <v>2458.27</v>
      </c>
      <c r="BB30" s="139">
        <v>2114.4299999999998</v>
      </c>
      <c r="BC30" s="139">
        <v>239.77</v>
      </c>
      <c r="BD30" s="139">
        <f t="shared" si="20"/>
        <v>45.450000000000273</v>
      </c>
      <c r="BE30" s="139">
        <f t="shared" si="21"/>
        <v>58.619999999999976</v>
      </c>
      <c r="BF30" s="139">
        <f t="shared" si="22"/>
        <v>422.89</v>
      </c>
      <c r="BG30" s="139">
        <f t="shared" si="23"/>
        <v>47.95</v>
      </c>
      <c r="BH30" s="108">
        <v>188.72</v>
      </c>
      <c r="BI30" s="108">
        <v>0</v>
      </c>
      <c r="BL30" s="108">
        <f t="shared" si="1"/>
        <v>2348.6</v>
      </c>
      <c r="BM30" s="108">
        <f t="shared" si="24"/>
        <v>298.39</v>
      </c>
      <c r="BN30" s="108">
        <f t="shared" si="25"/>
        <v>2646.99</v>
      </c>
      <c r="BO30" s="108">
        <v>2325.85</v>
      </c>
      <c r="BP30" s="127">
        <v>259.72000000000003</v>
      </c>
      <c r="BQ30" s="108">
        <f t="shared" si="26"/>
        <v>22.75</v>
      </c>
      <c r="BR30" s="108">
        <f t="shared" si="27"/>
        <v>38.669999999999959</v>
      </c>
      <c r="BS30" s="108">
        <f t="shared" si="28"/>
        <v>211.44</v>
      </c>
      <c r="BT30" s="108">
        <f t="shared" si="29"/>
        <v>23.61</v>
      </c>
      <c r="BU30" s="108">
        <f t="shared" si="47"/>
        <v>188.69</v>
      </c>
      <c r="BV30" s="109">
        <v>190</v>
      </c>
      <c r="BW30" s="109">
        <v>41</v>
      </c>
      <c r="BX30" s="109"/>
      <c r="BY30" s="109"/>
      <c r="BZ30" s="109"/>
      <c r="CA30" s="108">
        <v>2578.29</v>
      </c>
      <c r="CB30" s="108">
        <v>488.39</v>
      </c>
      <c r="CC30">
        <v>2836.12</v>
      </c>
      <c r="CD30">
        <v>561.65</v>
      </c>
      <c r="CE30" s="189">
        <v>236</v>
      </c>
      <c r="CF30" s="189">
        <v>47</v>
      </c>
      <c r="CG30" s="189">
        <f t="shared" si="31"/>
        <v>644.57000000000005</v>
      </c>
      <c r="CH30" s="189">
        <f t="shared" si="32"/>
        <v>122.1</v>
      </c>
      <c r="CI30" s="150"/>
      <c r="CJ30" s="150"/>
      <c r="CK30" s="150">
        <v>715</v>
      </c>
      <c r="CL30" s="150">
        <f>177-50</f>
        <v>127</v>
      </c>
      <c r="CM30" s="150"/>
      <c r="CN30" s="150"/>
      <c r="CO30" s="150">
        <v>3000</v>
      </c>
      <c r="CP30" s="150">
        <v>450</v>
      </c>
      <c r="CQ30" s="150">
        <f t="shared" si="33"/>
        <v>2860</v>
      </c>
      <c r="CR30" s="150">
        <f t="shared" si="34"/>
        <v>508</v>
      </c>
      <c r="CS30" s="150">
        <f t="shared" si="35"/>
        <v>2860</v>
      </c>
      <c r="CT30" s="150">
        <f t="shared" si="36"/>
        <v>450</v>
      </c>
      <c r="CU30" s="150">
        <v>2860</v>
      </c>
      <c r="CV30" s="150">
        <v>450</v>
      </c>
      <c r="CW30" s="150">
        <f t="shared" si="37"/>
        <v>715</v>
      </c>
      <c r="CX30" s="150">
        <f>ROUND(CV30*25%,2)-10</f>
        <v>102.5</v>
      </c>
      <c r="CY30" s="150"/>
      <c r="CZ30" s="150">
        <v>95</v>
      </c>
      <c r="DA30" s="150">
        <f t="shared" si="39"/>
        <v>1666</v>
      </c>
      <c r="DB30" s="150">
        <f t="shared" si="40"/>
        <v>371.5</v>
      </c>
      <c r="DC30" s="150">
        <v>1435.56</v>
      </c>
      <c r="DD30" s="150">
        <v>359.84</v>
      </c>
      <c r="DE30" s="150">
        <f t="shared" si="41"/>
        <v>230.44000000000005</v>
      </c>
      <c r="DF30" s="150">
        <f t="shared" si="42"/>
        <v>11.660000000000025</v>
      </c>
      <c r="DG30" s="150">
        <f t="shared" ref="DG30:DH32" si="84">ROUND(0.25*(MIN(CU30,DO30)),2)</f>
        <v>715</v>
      </c>
      <c r="DH30" s="150">
        <f t="shared" si="84"/>
        <v>112.5</v>
      </c>
      <c r="DI30" s="150">
        <f>+DG30-DE30</f>
        <v>484.55999999999995</v>
      </c>
      <c r="DJ30" s="150">
        <f>+DH30-DF30-22.34</f>
        <v>78.499999999999972</v>
      </c>
      <c r="DK30" s="104">
        <f t="shared" ref="DK30:DL32" si="85">+DO30-DA30-DI30</f>
        <v>1927.85</v>
      </c>
      <c r="DL30" s="104">
        <f t="shared" si="85"/>
        <v>137.55999999999997</v>
      </c>
      <c r="DM30" s="104">
        <f t="shared" si="2"/>
        <v>709.44</v>
      </c>
      <c r="DN30" s="104">
        <f t="shared" si="3"/>
        <v>0</v>
      </c>
      <c r="DO30" s="104">
        <v>4078.41</v>
      </c>
      <c r="DP30" s="104">
        <v>587.55999999999995</v>
      </c>
      <c r="DQ30" s="104">
        <v>3290</v>
      </c>
      <c r="DR30" s="104">
        <v>150</v>
      </c>
    </row>
    <row r="31" spans="1:124" ht="18.75">
      <c r="A31" s="13">
        <v>19</v>
      </c>
      <c r="B31" s="13"/>
      <c r="C31" s="14"/>
      <c r="D31" s="145" t="s">
        <v>553</v>
      </c>
      <c r="E31" s="16"/>
      <c r="F31" s="81">
        <v>821.04</v>
      </c>
      <c r="G31" s="81">
        <v>0</v>
      </c>
      <c r="H31" s="81">
        <v>821.04</v>
      </c>
      <c r="I31" s="17">
        <v>0</v>
      </c>
      <c r="J31" s="86">
        <v>994.9</v>
      </c>
      <c r="K31" s="87">
        <v>0</v>
      </c>
      <c r="L31" s="87">
        <v>0</v>
      </c>
      <c r="M31" s="87">
        <f t="shared" si="66"/>
        <v>994.9</v>
      </c>
      <c r="N31" s="87">
        <v>76.38</v>
      </c>
      <c r="O31" s="87">
        <v>0</v>
      </c>
      <c r="P31" s="87">
        <v>0</v>
      </c>
      <c r="Q31" s="87">
        <f t="shared" si="79"/>
        <v>76.38</v>
      </c>
      <c r="R31" s="87">
        <f t="shared" si="63"/>
        <v>1071.28</v>
      </c>
      <c r="S31" s="87">
        <v>0</v>
      </c>
      <c r="V31" s="17">
        <f t="shared" ref="V31:V32" si="86">ROUND(H31*1.0583,2)</f>
        <v>868.91</v>
      </c>
      <c r="W31" s="17">
        <f t="shared" ref="W31:W32" si="87">ROUND(I31*1.0327,2)</f>
        <v>0</v>
      </c>
      <c r="X31" s="108">
        <f t="shared" si="4"/>
        <v>202.37</v>
      </c>
      <c r="Y31" s="108">
        <f t="shared" si="5"/>
        <v>0</v>
      </c>
      <c r="Z31" s="108">
        <v>1777.48</v>
      </c>
      <c r="AA31" s="108">
        <v>170</v>
      </c>
      <c r="AB31" s="108">
        <f t="shared" si="6"/>
        <v>1947.48</v>
      </c>
      <c r="AC31" s="109">
        <v>0</v>
      </c>
      <c r="AD31" s="108">
        <v>1947.48</v>
      </c>
      <c r="AE31" s="108">
        <v>0</v>
      </c>
      <c r="AF31" s="108">
        <v>0</v>
      </c>
      <c r="AG31" s="108">
        <v>487</v>
      </c>
      <c r="AH31" s="108">
        <v>0</v>
      </c>
      <c r="AI31" s="127">
        <v>162</v>
      </c>
      <c r="AJ31" s="108">
        <v>0</v>
      </c>
      <c r="AM31" s="108">
        <v>486.87</v>
      </c>
      <c r="AN31" s="108">
        <v>0</v>
      </c>
      <c r="AQ31" s="116">
        <f t="shared" si="14"/>
        <v>973.87</v>
      </c>
      <c r="AR31" s="116">
        <v>0</v>
      </c>
      <c r="AS31" s="116"/>
      <c r="AT31" s="116"/>
      <c r="AU31" s="116">
        <v>350</v>
      </c>
      <c r="AV31" s="116">
        <v>0</v>
      </c>
      <c r="AW31" s="116"/>
      <c r="AX31" s="116"/>
      <c r="AY31" s="108">
        <f t="shared" si="17"/>
        <v>1485.87</v>
      </c>
      <c r="AZ31" s="108">
        <f t="shared" si="18"/>
        <v>0</v>
      </c>
      <c r="BA31" s="108">
        <f t="shared" si="19"/>
        <v>1485.87</v>
      </c>
      <c r="BB31" s="139">
        <v>1494.47</v>
      </c>
      <c r="BD31" s="139">
        <f t="shared" si="20"/>
        <v>-8.6000000000001364</v>
      </c>
      <c r="BE31" s="139">
        <f t="shared" si="21"/>
        <v>0</v>
      </c>
      <c r="BF31" s="139">
        <f t="shared" si="22"/>
        <v>298.89</v>
      </c>
      <c r="BG31" s="139">
        <f t="shared" si="23"/>
        <v>0</v>
      </c>
      <c r="BH31" s="109">
        <v>6.59</v>
      </c>
      <c r="BI31" s="108">
        <v>0</v>
      </c>
      <c r="BL31" s="108">
        <f t="shared" si="1"/>
        <v>1492.4599999999998</v>
      </c>
      <c r="BM31" s="108">
        <f t="shared" si="24"/>
        <v>0</v>
      </c>
      <c r="BN31" s="108">
        <f t="shared" si="25"/>
        <v>1492.4599999999998</v>
      </c>
      <c r="BO31" s="108">
        <f>741.61+768.46</f>
        <v>1510.0700000000002</v>
      </c>
      <c r="BP31" s="127"/>
      <c r="BQ31" s="108">
        <f t="shared" si="26"/>
        <v>-17.610000000000355</v>
      </c>
      <c r="BR31" s="108">
        <f t="shared" si="27"/>
        <v>0</v>
      </c>
      <c r="BS31" s="108">
        <f t="shared" si="28"/>
        <v>137.28</v>
      </c>
      <c r="BT31" s="108">
        <f t="shared" si="29"/>
        <v>0</v>
      </c>
      <c r="BU31" s="108">
        <f t="shared" si="47"/>
        <v>154.89000000000036</v>
      </c>
      <c r="BV31" s="109">
        <f>ROUND(BT31-BR31,2)</f>
        <v>0</v>
      </c>
      <c r="BW31" s="109">
        <f>437.66+23.27</f>
        <v>460.93</v>
      </c>
      <c r="BX31" s="109"/>
      <c r="BY31" s="109"/>
      <c r="BZ31" s="109"/>
      <c r="CA31" s="108">
        <v>2108.2800000000002</v>
      </c>
      <c r="CB31" s="108">
        <v>0</v>
      </c>
      <c r="CC31">
        <v>2319.11</v>
      </c>
      <c r="CD31">
        <v>0</v>
      </c>
      <c r="CE31" s="189">
        <v>193</v>
      </c>
      <c r="CF31" s="189">
        <v>0</v>
      </c>
      <c r="CG31" s="189">
        <f t="shared" si="31"/>
        <v>527.07000000000005</v>
      </c>
      <c r="CH31" s="189">
        <f t="shared" si="32"/>
        <v>0</v>
      </c>
      <c r="CI31" s="150"/>
      <c r="CJ31" s="150"/>
      <c r="CK31" s="150">
        <v>451.85</v>
      </c>
      <c r="CL31" s="150">
        <v>0</v>
      </c>
      <c r="CM31" s="150"/>
      <c r="CN31" s="150"/>
      <c r="CO31" s="150">
        <v>1807.39</v>
      </c>
      <c r="CP31" s="150"/>
      <c r="CQ31" s="150">
        <f t="shared" si="33"/>
        <v>1807.4</v>
      </c>
      <c r="CR31" s="150">
        <f t="shared" si="34"/>
        <v>0</v>
      </c>
      <c r="CS31" s="150">
        <f t="shared" si="35"/>
        <v>1807.39</v>
      </c>
      <c r="CT31" s="150">
        <f t="shared" si="36"/>
        <v>0</v>
      </c>
      <c r="CU31" s="150">
        <v>1807.39</v>
      </c>
      <c r="CV31" s="150">
        <v>0</v>
      </c>
      <c r="CW31" s="150">
        <f t="shared" si="37"/>
        <v>451.85</v>
      </c>
      <c r="CX31" s="150">
        <f t="shared" si="38"/>
        <v>0</v>
      </c>
      <c r="CY31" s="150"/>
      <c r="CZ31" s="150"/>
      <c r="DA31" s="150">
        <f t="shared" si="39"/>
        <v>1096.7</v>
      </c>
      <c r="DB31" s="150">
        <f t="shared" si="40"/>
        <v>0</v>
      </c>
      <c r="DC31" s="150">
        <v>1089.57</v>
      </c>
      <c r="DD31" s="150">
        <v>0</v>
      </c>
      <c r="DE31" s="150">
        <f t="shared" si="41"/>
        <v>7.1300000000001091</v>
      </c>
      <c r="DF31" s="150">
        <f t="shared" si="42"/>
        <v>0</v>
      </c>
      <c r="DG31" s="150">
        <f t="shared" si="84"/>
        <v>451.85</v>
      </c>
      <c r="DH31" s="150">
        <f t="shared" si="84"/>
        <v>0</v>
      </c>
      <c r="DI31" s="150">
        <f>+DG31-DE31</f>
        <v>444.71999999999991</v>
      </c>
      <c r="DJ31" s="150">
        <f>+DH31-DF31</f>
        <v>0</v>
      </c>
      <c r="DK31" s="104">
        <f t="shared" si="85"/>
        <v>764.58</v>
      </c>
      <c r="DL31" s="104">
        <f t="shared" si="85"/>
        <v>0</v>
      </c>
      <c r="DM31" s="104">
        <f t="shared" si="2"/>
        <v>265.97000000000014</v>
      </c>
      <c r="DN31" s="104">
        <f t="shared" si="3"/>
        <v>0</v>
      </c>
      <c r="DO31" s="104">
        <f>2062.27+243.73</f>
        <v>2306</v>
      </c>
      <c r="DP31" s="104">
        <v>0</v>
      </c>
      <c r="DQ31" s="178">
        <f>1757.77+170.72</f>
        <v>1928.49</v>
      </c>
      <c r="DR31" s="104">
        <v>0</v>
      </c>
    </row>
    <row r="32" spans="1:124" ht="31.5">
      <c r="A32" s="13">
        <v>20</v>
      </c>
      <c r="B32" s="13"/>
      <c r="C32" s="14"/>
      <c r="D32" s="145" t="s">
        <v>554</v>
      </c>
      <c r="E32" s="16"/>
      <c r="F32" s="81">
        <v>1019.1500000000001</v>
      </c>
      <c r="G32" s="81">
        <v>0</v>
      </c>
      <c r="H32" s="81">
        <v>1019.1500000000001</v>
      </c>
      <c r="I32" s="17">
        <v>0</v>
      </c>
      <c r="J32" s="86">
        <v>1222.25</v>
      </c>
      <c r="K32" s="87">
        <v>0</v>
      </c>
      <c r="L32" s="87">
        <v>0</v>
      </c>
      <c r="M32" s="87">
        <f t="shared" si="66"/>
        <v>1222.25</v>
      </c>
      <c r="N32" s="87">
        <v>149.27000000000001</v>
      </c>
      <c r="O32" s="87">
        <v>0</v>
      </c>
      <c r="P32" s="87">
        <v>0</v>
      </c>
      <c r="Q32" s="87">
        <f t="shared" si="79"/>
        <v>149.27000000000001</v>
      </c>
      <c r="R32" s="87">
        <f t="shared" si="63"/>
        <v>1371.52</v>
      </c>
      <c r="S32" s="87">
        <v>0</v>
      </c>
      <c r="V32" s="17">
        <f t="shared" si="86"/>
        <v>1078.57</v>
      </c>
      <c r="W32" s="17">
        <f t="shared" si="87"/>
        <v>0</v>
      </c>
      <c r="X32" s="108">
        <f t="shared" si="4"/>
        <v>292.95000000000005</v>
      </c>
      <c r="Y32" s="108">
        <f t="shared" si="5"/>
        <v>0</v>
      </c>
      <c r="Z32" s="108">
        <v>1064.3</v>
      </c>
      <c r="AA32" s="108">
        <v>45</v>
      </c>
      <c r="AB32" s="108">
        <f t="shared" si="6"/>
        <v>1109.3</v>
      </c>
      <c r="AC32" s="109">
        <v>0</v>
      </c>
      <c r="AD32" s="108">
        <v>1109.3</v>
      </c>
      <c r="AE32" s="108">
        <v>0</v>
      </c>
      <c r="AF32" s="108">
        <v>0</v>
      </c>
      <c r="AG32" s="108">
        <v>278</v>
      </c>
      <c r="AH32" s="108">
        <v>0</v>
      </c>
      <c r="AI32" s="127">
        <v>93</v>
      </c>
      <c r="AJ32" s="108">
        <v>0</v>
      </c>
      <c r="AM32" s="108">
        <v>277.33</v>
      </c>
      <c r="AN32" s="108">
        <v>0</v>
      </c>
      <c r="AQ32" s="108">
        <f t="shared" si="14"/>
        <v>555.32999999999993</v>
      </c>
      <c r="AR32" s="108">
        <v>0</v>
      </c>
      <c r="AU32" s="108">
        <v>277.33</v>
      </c>
      <c r="AV32" s="108">
        <v>0</v>
      </c>
      <c r="AY32" s="108">
        <f t="shared" si="17"/>
        <v>925.65999999999985</v>
      </c>
      <c r="AZ32" s="108">
        <f t="shared" si="18"/>
        <v>0</v>
      </c>
      <c r="BA32" s="108">
        <f t="shared" si="19"/>
        <v>925.65999999999985</v>
      </c>
      <c r="BB32" s="139">
        <f>605.57+218.31</f>
        <v>823.88000000000011</v>
      </c>
      <c r="BD32" s="139">
        <f t="shared" si="20"/>
        <v>101.77999999999975</v>
      </c>
      <c r="BE32" s="139">
        <f t="shared" si="21"/>
        <v>0</v>
      </c>
      <c r="BF32" s="139">
        <f t="shared" si="22"/>
        <v>164.78</v>
      </c>
      <c r="BG32" s="139">
        <f t="shared" si="23"/>
        <v>0</v>
      </c>
      <c r="BH32" s="109">
        <v>31.5</v>
      </c>
      <c r="BI32" s="108">
        <v>0</v>
      </c>
      <c r="BL32" s="108">
        <f t="shared" si="1"/>
        <v>957.15999999999985</v>
      </c>
      <c r="BM32" s="108">
        <f t="shared" si="24"/>
        <v>0</v>
      </c>
      <c r="BN32" s="108">
        <f t="shared" si="25"/>
        <v>957.15999999999985</v>
      </c>
      <c r="BO32" s="108">
        <f>605.57+218.31</f>
        <v>823.88000000000011</v>
      </c>
      <c r="BP32" s="127"/>
      <c r="BQ32" s="108">
        <f t="shared" si="26"/>
        <v>133.27999999999975</v>
      </c>
      <c r="BR32" s="108">
        <f t="shared" si="27"/>
        <v>0</v>
      </c>
      <c r="BS32" s="108">
        <f t="shared" si="28"/>
        <v>74.900000000000006</v>
      </c>
      <c r="BT32" s="108">
        <f t="shared" si="29"/>
        <v>0</v>
      </c>
      <c r="BU32" s="108">
        <v>-58.38</v>
      </c>
      <c r="BV32" s="109">
        <f t="shared" ref="BV32" si="88">ROUND(BT32-BR32,2)</f>
        <v>0</v>
      </c>
      <c r="BW32" s="109">
        <v>882.96</v>
      </c>
      <c r="BX32" s="109"/>
      <c r="BY32" s="109"/>
      <c r="BZ32" s="109"/>
      <c r="CA32" s="108">
        <v>1781.7399999999998</v>
      </c>
      <c r="CB32" s="108">
        <v>0</v>
      </c>
      <c r="CC32">
        <v>1959.91</v>
      </c>
      <c r="CD32">
        <v>0</v>
      </c>
      <c r="CE32" s="189">
        <v>163</v>
      </c>
      <c r="CF32" s="189">
        <v>0</v>
      </c>
      <c r="CG32" s="189">
        <f t="shared" si="31"/>
        <v>445.44</v>
      </c>
      <c r="CH32" s="189">
        <f t="shared" si="32"/>
        <v>0</v>
      </c>
      <c r="CI32" s="150"/>
      <c r="CJ32" s="150"/>
      <c r="CK32" s="150">
        <f>634.63-150</f>
        <v>484.63</v>
      </c>
      <c r="CL32" s="150">
        <v>0</v>
      </c>
      <c r="CM32" s="150"/>
      <c r="CN32" s="150"/>
      <c r="CO32" s="150">
        <v>2538.5</v>
      </c>
      <c r="CP32" s="150"/>
      <c r="CQ32" s="150">
        <f t="shared" si="33"/>
        <v>1938.52</v>
      </c>
      <c r="CR32" s="150">
        <f t="shared" si="34"/>
        <v>0</v>
      </c>
      <c r="CS32" s="150">
        <f>IF(CO32&lt;CQ32,CO32,CQ32)+0.85</f>
        <v>1939.37</v>
      </c>
      <c r="CT32" s="150">
        <f t="shared" si="36"/>
        <v>0</v>
      </c>
      <c r="CU32" s="150">
        <v>1939.37</v>
      </c>
      <c r="CV32" s="150">
        <v>0</v>
      </c>
      <c r="CW32" s="150">
        <f t="shared" si="37"/>
        <v>484.84</v>
      </c>
      <c r="CX32" s="150">
        <f t="shared" si="38"/>
        <v>0</v>
      </c>
      <c r="CY32" s="150"/>
      <c r="CZ32" s="150"/>
      <c r="DA32" s="150">
        <f t="shared" si="39"/>
        <v>1132.47</v>
      </c>
      <c r="DB32" s="150">
        <f t="shared" si="40"/>
        <v>0</v>
      </c>
      <c r="DC32" s="150">
        <v>914.67</v>
      </c>
      <c r="DD32" s="150">
        <v>0</v>
      </c>
      <c r="DE32" s="150">
        <f t="shared" si="41"/>
        <v>217.80000000000007</v>
      </c>
      <c r="DF32" s="150">
        <f t="shared" si="42"/>
        <v>0</v>
      </c>
      <c r="DG32" s="150">
        <f t="shared" si="84"/>
        <v>484.84</v>
      </c>
      <c r="DH32" s="150">
        <f t="shared" si="84"/>
        <v>0</v>
      </c>
      <c r="DI32" s="150">
        <f>+DG32-DE32</f>
        <v>267.03999999999991</v>
      </c>
      <c r="DJ32" s="150">
        <f>+DH32-DF32</f>
        <v>0</v>
      </c>
      <c r="DK32" s="104">
        <f t="shared" si="85"/>
        <v>839.8599999999999</v>
      </c>
      <c r="DL32" s="104">
        <f t="shared" si="85"/>
        <v>0</v>
      </c>
      <c r="DM32" s="104">
        <f t="shared" si="2"/>
        <v>539.8599999999999</v>
      </c>
      <c r="DN32" s="104">
        <f t="shared" si="3"/>
        <v>0</v>
      </c>
      <c r="DO32" s="104">
        <f>164+2075.37</f>
        <v>2239.37</v>
      </c>
      <c r="DQ32" s="178">
        <f>188+3023</f>
        <v>3211</v>
      </c>
    </row>
    <row r="33" spans="1:125" ht="18.75">
      <c r="A33" s="18"/>
      <c r="B33" s="18" t="s">
        <v>48</v>
      </c>
      <c r="C33" s="19" t="s">
        <v>45</v>
      </c>
      <c r="D33" s="20" t="s">
        <v>47</v>
      </c>
      <c r="E33" s="21" t="s">
        <v>49</v>
      </c>
      <c r="F33" s="22">
        <v>5337.35</v>
      </c>
      <c r="G33" s="22">
        <v>224.26999999999998</v>
      </c>
      <c r="H33" s="22">
        <v>5337.35</v>
      </c>
      <c r="I33" s="22">
        <v>224.26999999999998</v>
      </c>
      <c r="J33" s="88" t="e">
        <f>+J30+J31+J32+#REF!+#REF!</f>
        <v>#REF!</v>
      </c>
      <c r="K33" s="88" t="e">
        <f>+K30+K31+K32+#REF!+#REF!</f>
        <v>#REF!</v>
      </c>
      <c r="L33" s="88" t="e">
        <f>+L30+L31+L32+#REF!+#REF!</f>
        <v>#REF!</v>
      </c>
      <c r="M33" s="88" t="e">
        <f>+M30+M31+M32+#REF!+#REF!</f>
        <v>#REF!</v>
      </c>
      <c r="N33" s="88" t="e">
        <f>+N30+N31+N32+#REF!+#REF!</f>
        <v>#REF!</v>
      </c>
      <c r="O33" s="88" t="e">
        <f>+O30+O31+O32+#REF!+#REF!</f>
        <v>#REF!</v>
      </c>
      <c r="P33" s="88" t="e">
        <f>+P30+P31+P32+#REF!+#REF!</f>
        <v>#REF!</v>
      </c>
      <c r="Q33" s="88" t="e">
        <f>+Q30+Q31+Q32+#REF!+#REF!</f>
        <v>#REF!</v>
      </c>
      <c r="R33" s="88" t="e">
        <f>+R30+R31+R32+#REF!+#REF!</f>
        <v>#REF!</v>
      </c>
      <c r="S33" s="88" t="e">
        <f>+S30+S31+S32+#REF!+#REF!</f>
        <v>#REF!</v>
      </c>
      <c r="T33" s="88" t="e">
        <f>+T30+T31+T32+#REF!+#REF!</f>
        <v>#REF!</v>
      </c>
      <c r="U33" s="88" t="e">
        <f>+U30+U31+U32+#REF!+#REF!</f>
        <v>#REF!</v>
      </c>
      <c r="V33" s="88" t="e">
        <f>+V30+V31+V32+#REF!+#REF!</f>
        <v>#REF!</v>
      </c>
      <c r="W33" s="88" t="e">
        <f>+W30+W31+W32+#REF!+#REF!</f>
        <v>#REF!</v>
      </c>
      <c r="X33" s="88" t="e">
        <f>+X30+X31+X32+#REF!+#REF!</f>
        <v>#REF!</v>
      </c>
      <c r="Y33" s="88" t="e">
        <f>+Y30+Y31+Y32+#REF!+#REF!</f>
        <v>#REF!</v>
      </c>
      <c r="Z33" s="88" t="e">
        <f>+Z30+Z31+Z32+#REF!+#REF!</f>
        <v>#REF!</v>
      </c>
      <c r="AA33" s="88" t="e">
        <f>+AA30+AA31+AA32+#REF!+#REF!</f>
        <v>#REF!</v>
      </c>
      <c r="AB33" s="22" t="e">
        <f t="shared" si="6"/>
        <v>#REF!</v>
      </c>
      <c r="AC33" s="109">
        <v>0</v>
      </c>
      <c r="AD33" s="22">
        <f t="shared" ref="AD33" si="89">+AD30+AD31+AD32</f>
        <v>5648.5199999999995</v>
      </c>
      <c r="AE33" s="22">
        <f t="shared" ref="AE33" si="90">+AE30+AE31+AE32</f>
        <v>231.6</v>
      </c>
      <c r="AF33" s="22">
        <f t="shared" ref="AF33" si="91">+AF30+AF31+AF32</f>
        <v>225.55</v>
      </c>
      <c r="AG33" s="22">
        <f t="shared" ref="AG33" si="92">+AG30+AG31+AG32</f>
        <v>1413</v>
      </c>
      <c r="AH33" s="22">
        <f t="shared" ref="AH33" si="93">+AH30+AH31+AH32</f>
        <v>58</v>
      </c>
      <c r="AI33" s="22">
        <f t="shared" ref="AI33" si="94">+AI30+AI31+AI32</f>
        <v>471</v>
      </c>
      <c r="AJ33" s="22">
        <f t="shared" ref="AJ33" si="95">+AJ30+AJ31+AJ32</f>
        <v>19</v>
      </c>
      <c r="AK33" s="22">
        <f t="shared" ref="AK33" si="96">+AK30+AK31+AK32</f>
        <v>0</v>
      </c>
      <c r="AL33" s="22">
        <f t="shared" ref="AL33" si="97">+AL30+AL31+AL32</f>
        <v>0</v>
      </c>
      <c r="AM33" s="22">
        <f t="shared" ref="AM33" si="98">+AM30+AM31+AM32</f>
        <v>1412.1399999999999</v>
      </c>
      <c r="AN33" s="22">
        <f t="shared" ref="AN33" si="99">+AN30+AN31+AN32</f>
        <v>56.39</v>
      </c>
      <c r="AO33" s="22">
        <f t="shared" ref="AO33" si="100">+AO30+AO31+AO32</f>
        <v>0</v>
      </c>
      <c r="AP33" s="22">
        <f t="shared" ref="AP33" si="101">+AP30+AP31+AP32</f>
        <v>0</v>
      </c>
      <c r="AQ33" s="22">
        <f t="shared" ref="AQ33" si="102">+AQ30+AQ31+AQ32</f>
        <v>2825.14</v>
      </c>
      <c r="AR33" s="22">
        <f t="shared" ref="AR33" si="103">+AR30+AR31+AR32</f>
        <v>114.39</v>
      </c>
      <c r="AS33" s="22">
        <f t="shared" ref="AS33" si="104">+AS30+AS31+AS32</f>
        <v>0</v>
      </c>
      <c r="AT33" s="22">
        <f t="shared" ref="AT33" si="105">+AT30+AT31+AT32</f>
        <v>0</v>
      </c>
      <c r="AU33" s="22">
        <f t="shared" ref="AU33" si="106">+AU30+AU31+AU32</f>
        <v>1275.27</v>
      </c>
      <c r="AV33" s="22">
        <f t="shared" ref="AV33" si="107">+AV30+AV31+AV32</f>
        <v>165</v>
      </c>
      <c r="AW33" s="22">
        <f t="shared" ref="AW33" si="108">+AW30+AW31+AW32</f>
        <v>0</v>
      </c>
      <c r="AX33" s="22">
        <f t="shared" ref="AX33" si="109">+AX30+AX31+AX32</f>
        <v>0</v>
      </c>
      <c r="AY33" s="22">
        <f t="shared" ref="AY33" si="110">+AY30+AY31+AY32</f>
        <v>4571.41</v>
      </c>
      <c r="AZ33" s="22">
        <f t="shared" ref="AZ33" si="111">+AZ30+AZ31+AZ32</f>
        <v>298.39</v>
      </c>
      <c r="BA33" s="22">
        <f t="shared" ref="BA33" si="112">+BA30+BA31+BA32</f>
        <v>4869.7999999999993</v>
      </c>
      <c r="BB33" s="22">
        <f t="shared" ref="BB33:DH33" si="113">+BB30+BB31+BB32</f>
        <v>4432.78</v>
      </c>
      <c r="BC33" s="22">
        <f t="shared" si="113"/>
        <v>239.77</v>
      </c>
      <c r="BD33" s="22">
        <f t="shared" si="113"/>
        <v>138.62999999999988</v>
      </c>
      <c r="BE33" s="22">
        <f t="shared" si="113"/>
        <v>58.619999999999976</v>
      </c>
      <c r="BF33" s="22">
        <f t="shared" si="113"/>
        <v>886.56</v>
      </c>
      <c r="BG33" s="118">
        <f t="shared" si="113"/>
        <v>47.95</v>
      </c>
      <c r="BH33" s="118">
        <f t="shared" si="113"/>
        <v>226.81</v>
      </c>
      <c r="BI33" s="118">
        <f t="shared" si="113"/>
        <v>0</v>
      </c>
      <c r="BJ33" s="118">
        <f t="shared" si="113"/>
        <v>0</v>
      </c>
      <c r="BK33" s="118">
        <f t="shared" si="113"/>
        <v>0</v>
      </c>
      <c r="BL33" s="118">
        <f t="shared" si="113"/>
        <v>4798.2199999999993</v>
      </c>
      <c r="BM33" s="118">
        <f t="shared" si="113"/>
        <v>298.39</v>
      </c>
      <c r="BN33" s="118">
        <f t="shared" si="113"/>
        <v>5096.6099999999997</v>
      </c>
      <c r="BO33" s="118">
        <f t="shared" si="113"/>
        <v>4659.8</v>
      </c>
      <c r="BP33" s="118">
        <f t="shared" si="113"/>
        <v>259.72000000000003</v>
      </c>
      <c r="BQ33" s="22">
        <f t="shared" si="113"/>
        <v>138.41999999999939</v>
      </c>
      <c r="BR33" s="22">
        <f t="shared" si="113"/>
        <v>38.669999999999959</v>
      </c>
      <c r="BS33" s="22">
        <f t="shared" si="113"/>
        <v>423.62</v>
      </c>
      <c r="BT33" s="22">
        <f t="shared" si="113"/>
        <v>23.61</v>
      </c>
      <c r="BU33" s="22">
        <f t="shared" si="113"/>
        <v>285.20000000000039</v>
      </c>
      <c r="BV33" s="22">
        <f t="shared" si="113"/>
        <v>190</v>
      </c>
      <c r="BW33" s="22">
        <f t="shared" si="113"/>
        <v>1384.89</v>
      </c>
      <c r="BX33" s="22">
        <f t="shared" si="113"/>
        <v>0</v>
      </c>
      <c r="BY33" s="22">
        <f t="shared" si="113"/>
        <v>0</v>
      </c>
      <c r="BZ33" s="22">
        <f t="shared" si="113"/>
        <v>0</v>
      </c>
      <c r="CA33" s="22">
        <f t="shared" si="113"/>
        <v>6468.3099999999995</v>
      </c>
      <c r="CB33" s="22">
        <f t="shared" si="113"/>
        <v>488.39</v>
      </c>
      <c r="CC33" s="22">
        <f t="shared" si="113"/>
        <v>7115.1399999999994</v>
      </c>
      <c r="CD33" s="118">
        <f t="shared" si="113"/>
        <v>561.65</v>
      </c>
      <c r="CE33" s="190">
        <f t="shared" si="113"/>
        <v>592</v>
      </c>
      <c r="CF33" s="190">
        <f t="shared" si="113"/>
        <v>47</v>
      </c>
      <c r="CG33" s="190">
        <f t="shared" si="113"/>
        <v>1617.0800000000002</v>
      </c>
      <c r="CH33" s="190">
        <f t="shared" si="113"/>
        <v>122.1</v>
      </c>
      <c r="CI33" s="190">
        <f t="shared" si="113"/>
        <v>0</v>
      </c>
      <c r="CJ33" s="190">
        <f t="shared" si="113"/>
        <v>0</v>
      </c>
      <c r="CK33" s="190">
        <f t="shared" si="113"/>
        <v>1651.48</v>
      </c>
      <c r="CL33" s="190">
        <f t="shared" si="113"/>
        <v>127</v>
      </c>
      <c r="CM33" s="190">
        <f t="shared" si="113"/>
        <v>0</v>
      </c>
      <c r="CN33" s="190">
        <f t="shared" si="113"/>
        <v>0</v>
      </c>
      <c r="CO33" s="190">
        <f t="shared" si="113"/>
        <v>7345.89</v>
      </c>
      <c r="CP33" s="190">
        <f t="shared" si="113"/>
        <v>450</v>
      </c>
      <c r="CQ33" s="190">
        <f t="shared" si="113"/>
        <v>6605.92</v>
      </c>
      <c r="CR33" s="190">
        <f t="shared" si="113"/>
        <v>508</v>
      </c>
      <c r="CS33" s="190">
        <f t="shared" si="113"/>
        <v>6606.76</v>
      </c>
      <c r="CT33" s="190">
        <f t="shared" si="113"/>
        <v>450</v>
      </c>
      <c r="CU33" s="190">
        <f t="shared" si="113"/>
        <v>6606.76</v>
      </c>
      <c r="CV33" s="190">
        <f t="shared" si="113"/>
        <v>450</v>
      </c>
      <c r="CW33" s="190">
        <f t="shared" si="113"/>
        <v>1651.6899999999998</v>
      </c>
      <c r="CX33" s="190">
        <f t="shared" si="113"/>
        <v>102.5</v>
      </c>
      <c r="CY33" s="190">
        <f t="shared" si="113"/>
        <v>0</v>
      </c>
      <c r="CZ33" s="190">
        <f t="shared" si="113"/>
        <v>95</v>
      </c>
      <c r="DA33" s="190">
        <f t="shared" si="113"/>
        <v>3895.17</v>
      </c>
      <c r="DB33" s="190">
        <f t="shared" si="113"/>
        <v>371.5</v>
      </c>
      <c r="DC33" s="190">
        <f t="shared" si="113"/>
        <v>3439.8</v>
      </c>
      <c r="DD33" s="190">
        <f t="shared" si="113"/>
        <v>359.84</v>
      </c>
      <c r="DE33" s="190">
        <f t="shared" si="113"/>
        <v>455.37000000000023</v>
      </c>
      <c r="DF33" s="190">
        <f t="shared" si="113"/>
        <v>11.660000000000025</v>
      </c>
      <c r="DG33" s="190">
        <f t="shared" si="113"/>
        <v>1651.6899999999998</v>
      </c>
      <c r="DH33" s="190">
        <f t="shared" si="113"/>
        <v>112.5</v>
      </c>
      <c r="DI33" s="190">
        <f t="shared" ref="DI33:DO33" si="114">+DI30+DI31+DI32</f>
        <v>1196.3199999999997</v>
      </c>
      <c r="DJ33" s="190">
        <f t="shared" si="114"/>
        <v>78.499999999999972</v>
      </c>
      <c r="DK33" s="186">
        <f t="shared" si="114"/>
        <v>3532.29</v>
      </c>
      <c r="DL33" s="22">
        <f t="shared" si="114"/>
        <v>137.55999999999997</v>
      </c>
      <c r="DM33" s="104">
        <f t="shared" si="2"/>
        <v>1515.2700000000004</v>
      </c>
      <c r="DN33" s="104">
        <f t="shared" si="3"/>
        <v>0</v>
      </c>
      <c r="DO33" s="22">
        <f t="shared" si="114"/>
        <v>8623.7799999999988</v>
      </c>
      <c r="DP33" s="22">
        <f t="shared" ref="DP33:DS33" si="115">+DP30+DP31+DP32</f>
        <v>587.55999999999995</v>
      </c>
      <c r="DQ33" s="22">
        <f t="shared" si="115"/>
        <v>8429.49</v>
      </c>
      <c r="DR33" s="22">
        <f t="shared" si="115"/>
        <v>150</v>
      </c>
      <c r="DS33" s="22">
        <f t="shared" si="115"/>
        <v>0</v>
      </c>
      <c r="DT33" s="22">
        <f t="shared" ref="DT33:DU33" si="116">+DT30+DT31+DT32</f>
        <v>0</v>
      </c>
      <c r="DU33" s="22">
        <f t="shared" si="116"/>
        <v>0</v>
      </c>
    </row>
    <row r="34" spans="1:125" ht="18.75">
      <c r="A34" s="13">
        <v>23</v>
      </c>
      <c r="B34" s="13"/>
      <c r="C34" s="14"/>
      <c r="D34" s="15" t="s">
        <v>50</v>
      </c>
      <c r="E34" s="16"/>
      <c r="F34" s="81">
        <v>2871.5600000000004</v>
      </c>
      <c r="G34" s="81">
        <v>2275.63</v>
      </c>
      <c r="H34" s="81">
        <v>2871.5600000000004</v>
      </c>
      <c r="I34" s="17">
        <v>2275.63</v>
      </c>
      <c r="J34" s="86">
        <v>3500</v>
      </c>
      <c r="K34" s="87">
        <v>0</v>
      </c>
      <c r="L34" s="87">
        <v>0</v>
      </c>
      <c r="M34" s="87">
        <f t="shared" si="66"/>
        <v>3500</v>
      </c>
      <c r="N34" s="87">
        <v>0</v>
      </c>
      <c r="O34" s="87">
        <v>0</v>
      </c>
      <c r="P34" s="87">
        <v>0</v>
      </c>
      <c r="Q34" s="87">
        <f t="shared" si="79"/>
        <v>0</v>
      </c>
      <c r="R34" s="87">
        <f t="shared" si="63"/>
        <v>3500</v>
      </c>
      <c r="S34" s="87">
        <v>3000</v>
      </c>
      <c r="V34" s="17">
        <f t="shared" ref="V34" si="117">ROUND(H34*1.0583,2)</f>
        <v>3038.97</v>
      </c>
      <c r="W34" s="17">
        <f t="shared" ref="W34" si="118">ROUND(I34*1.0327,2)</f>
        <v>2350.04</v>
      </c>
      <c r="X34" s="108">
        <f t="shared" si="4"/>
        <v>461.0300000000002</v>
      </c>
      <c r="Y34" s="108">
        <f t="shared" si="5"/>
        <v>649.96</v>
      </c>
      <c r="Z34" s="108">
        <v>3038.97</v>
      </c>
      <c r="AA34" s="108"/>
      <c r="AB34" s="108">
        <f t="shared" si="6"/>
        <v>3038.97</v>
      </c>
      <c r="AC34" s="109">
        <f t="shared" si="7"/>
        <v>0</v>
      </c>
      <c r="AD34" s="108">
        <f>IF(X34&gt;0,V34,R34)</f>
        <v>3038.97</v>
      </c>
      <c r="AE34" s="108">
        <f>IF(Y34&gt;0,W34,S34)</f>
        <v>2350.04</v>
      </c>
      <c r="AF34" s="108">
        <f t="shared" si="8"/>
        <v>2706.6</v>
      </c>
      <c r="AG34" s="108">
        <f t="shared" si="9"/>
        <v>760</v>
      </c>
      <c r="AH34" s="108">
        <f t="shared" si="46"/>
        <v>588</v>
      </c>
      <c r="AI34" s="127">
        <f t="shared" si="10"/>
        <v>253</v>
      </c>
      <c r="AJ34" s="108">
        <f t="shared" si="11"/>
        <v>196</v>
      </c>
      <c r="AM34" s="108">
        <f t="shared" si="12"/>
        <v>759.74</v>
      </c>
      <c r="AN34" s="108">
        <f t="shared" si="13"/>
        <v>572.23</v>
      </c>
      <c r="AQ34" s="108">
        <f t="shared" si="14"/>
        <v>1519.74</v>
      </c>
      <c r="AR34" s="108">
        <f t="shared" si="15"/>
        <v>1160.23</v>
      </c>
      <c r="AU34" s="108">
        <f t="shared" si="0"/>
        <v>759.74</v>
      </c>
      <c r="AV34" s="108">
        <f t="shared" ref="AV34:AV44" si="119">ROUND(AE34*25%,2)</f>
        <v>587.51</v>
      </c>
      <c r="AY34" s="108">
        <f t="shared" si="17"/>
        <v>2532.48</v>
      </c>
      <c r="AZ34" s="108">
        <f t="shared" si="18"/>
        <v>1943.74</v>
      </c>
      <c r="BA34" s="108">
        <f t="shared" si="19"/>
        <v>4476.22</v>
      </c>
      <c r="BB34" s="139">
        <v>2406.2399999999998</v>
      </c>
      <c r="BC34" s="139">
        <v>1758.21</v>
      </c>
      <c r="BD34" s="139">
        <f t="shared" si="20"/>
        <v>126.24000000000024</v>
      </c>
      <c r="BE34" s="139">
        <f t="shared" si="21"/>
        <v>185.52999999999997</v>
      </c>
      <c r="BF34" s="139">
        <f t="shared" si="22"/>
        <v>481.25</v>
      </c>
      <c r="BG34" s="139">
        <f t="shared" si="23"/>
        <v>351.64</v>
      </c>
      <c r="BH34" s="108">
        <v>177.51</v>
      </c>
      <c r="BI34" s="143">
        <v>50</v>
      </c>
      <c r="BJ34" s="143"/>
      <c r="BK34" s="143"/>
      <c r="BL34" s="108">
        <f t="shared" si="1"/>
        <v>2709.99</v>
      </c>
      <c r="BM34" s="108">
        <f t="shared" si="24"/>
        <v>1993.74</v>
      </c>
      <c r="BN34" s="108">
        <f t="shared" si="25"/>
        <v>4703.7299999999996</v>
      </c>
      <c r="BO34" s="108">
        <v>2651.96</v>
      </c>
      <c r="BP34" s="127">
        <v>1968.87</v>
      </c>
      <c r="BQ34" s="108">
        <f t="shared" si="26"/>
        <v>58.029999999999745</v>
      </c>
      <c r="BR34" s="108">
        <f t="shared" si="27"/>
        <v>24.870000000000118</v>
      </c>
      <c r="BS34" s="108">
        <f t="shared" si="28"/>
        <v>241.09</v>
      </c>
      <c r="BT34" s="108">
        <f t="shared" si="29"/>
        <v>178.99</v>
      </c>
      <c r="BU34" s="109">
        <f>280-57.23</f>
        <v>222.77</v>
      </c>
      <c r="BV34" s="109">
        <v>300</v>
      </c>
      <c r="BW34" s="109"/>
      <c r="BX34" s="109">
        <v>104.03</v>
      </c>
      <c r="BY34" s="109"/>
      <c r="BZ34" s="109"/>
      <c r="CA34" s="108">
        <v>2932.7599999999998</v>
      </c>
      <c r="CB34" s="108">
        <v>2397.77</v>
      </c>
      <c r="CC34">
        <v>3226.04</v>
      </c>
      <c r="CD34">
        <v>2757.44</v>
      </c>
      <c r="CE34" s="189">
        <v>269</v>
      </c>
      <c r="CF34" s="189">
        <v>230</v>
      </c>
      <c r="CG34" s="189">
        <f t="shared" si="31"/>
        <v>733.19</v>
      </c>
      <c r="CH34" s="189">
        <f t="shared" si="32"/>
        <v>599.44000000000005</v>
      </c>
      <c r="CI34" s="150"/>
      <c r="CJ34" s="150"/>
      <c r="CK34" s="150">
        <f>800-20</f>
        <v>780</v>
      </c>
      <c r="CL34" s="150">
        <f>700-50-10</f>
        <v>640</v>
      </c>
      <c r="CM34" s="150"/>
      <c r="CN34" s="150"/>
      <c r="CO34" s="150">
        <v>3646.76</v>
      </c>
      <c r="CP34" s="150">
        <v>3000</v>
      </c>
      <c r="CQ34" s="150">
        <f t="shared" si="33"/>
        <v>3120</v>
      </c>
      <c r="CR34" s="150">
        <f t="shared" si="34"/>
        <v>2560</v>
      </c>
      <c r="CS34" s="150">
        <f t="shared" si="35"/>
        <v>3120</v>
      </c>
      <c r="CT34" s="150">
        <f t="shared" si="36"/>
        <v>2560</v>
      </c>
      <c r="CU34" s="150">
        <f t="shared" si="35"/>
        <v>3120</v>
      </c>
      <c r="CV34" s="150">
        <v>2700</v>
      </c>
      <c r="CW34" s="150">
        <f t="shared" si="37"/>
        <v>780</v>
      </c>
      <c r="CX34" s="150">
        <f>ROUND(CV34*25%,2)-10</f>
        <v>665</v>
      </c>
      <c r="CY34" s="150"/>
      <c r="CZ34" s="150"/>
      <c r="DA34" s="150">
        <f t="shared" si="39"/>
        <v>1829</v>
      </c>
      <c r="DB34" s="150">
        <f t="shared" si="40"/>
        <v>1535</v>
      </c>
      <c r="DC34" s="150">
        <v>1790.59</v>
      </c>
      <c r="DD34" s="150">
        <v>1305.51</v>
      </c>
      <c r="DE34" s="150">
        <f t="shared" si="41"/>
        <v>38.410000000000082</v>
      </c>
      <c r="DF34" s="150">
        <f t="shared" si="42"/>
        <v>229.49</v>
      </c>
      <c r="DG34" s="150">
        <f>ROUND(0.25*(MIN(CU34,DO34)),2)</f>
        <v>780</v>
      </c>
      <c r="DH34" s="150">
        <f>ROUND(0.25*(MIN(CV34,DP34)),2)</f>
        <v>675</v>
      </c>
      <c r="DI34" s="150">
        <f>+DG34-DE34</f>
        <v>741.58999999999992</v>
      </c>
      <c r="DJ34" s="150">
        <f>+DH34-DF34</f>
        <v>445.51</v>
      </c>
      <c r="DK34" s="104">
        <f>+DO34-DA34-DI34</f>
        <v>579.41000000000008</v>
      </c>
      <c r="DL34" s="104">
        <f>+DP34-DB34-DJ34</f>
        <v>769.49</v>
      </c>
      <c r="DM34" s="104">
        <f t="shared" si="2"/>
        <v>549.41000000000008</v>
      </c>
      <c r="DN34" s="104">
        <f t="shared" si="3"/>
        <v>719.49</v>
      </c>
      <c r="DO34" s="104">
        <v>3150</v>
      </c>
      <c r="DP34" s="104">
        <v>2750</v>
      </c>
      <c r="DQ34" s="104">
        <v>3300</v>
      </c>
      <c r="DR34" s="104">
        <v>3000</v>
      </c>
    </row>
    <row r="35" spans="1:125" ht="18.75">
      <c r="A35" s="13">
        <v>24</v>
      </c>
      <c r="B35" s="13"/>
      <c r="C35" s="14"/>
      <c r="D35" s="15" t="s">
        <v>51</v>
      </c>
      <c r="E35" s="16"/>
      <c r="F35" s="81">
        <v>652.8599999999999</v>
      </c>
      <c r="G35" s="81">
        <v>0</v>
      </c>
      <c r="H35" s="81">
        <v>652.8599999999999</v>
      </c>
      <c r="I35" s="17">
        <v>0</v>
      </c>
      <c r="J35" s="86">
        <v>1390.28</v>
      </c>
      <c r="K35" s="87">
        <v>0</v>
      </c>
      <c r="L35" s="87">
        <v>0</v>
      </c>
      <c r="M35" s="87">
        <f t="shared" si="66"/>
        <v>1390.28</v>
      </c>
      <c r="N35" s="87">
        <v>72.8</v>
      </c>
      <c r="O35" s="87">
        <v>0</v>
      </c>
      <c r="P35" s="87">
        <v>0</v>
      </c>
      <c r="Q35" s="87">
        <f t="shared" si="79"/>
        <v>72.8</v>
      </c>
      <c r="R35" s="87">
        <f t="shared" si="63"/>
        <v>1463.08</v>
      </c>
      <c r="S35" s="87">
        <v>0</v>
      </c>
      <c r="V35" s="17">
        <f t="shared" ref="V35" si="120">ROUND(H35*1.0583,2)</f>
        <v>690.92</v>
      </c>
      <c r="W35" s="17">
        <f t="shared" ref="W35" si="121">ROUND(I35*1.0327,2)</f>
        <v>0</v>
      </c>
      <c r="X35" s="108">
        <f t="shared" si="4"/>
        <v>772.16</v>
      </c>
      <c r="Y35" s="108">
        <f t="shared" si="5"/>
        <v>0</v>
      </c>
      <c r="Z35" s="108">
        <v>660</v>
      </c>
      <c r="AA35" s="108">
        <v>30.92</v>
      </c>
      <c r="AB35" s="108">
        <f t="shared" si="6"/>
        <v>690.92</v>
      </c>
      <c r="AC35" s="109">
        <f t="shared" si="7"/>
        <v>0</v>
      </c>
      <c r="AD35" s="108">
        <f>IF(X35&gt;0,V35,R35)</f>
        <v>690.92</v>
      </c>
      <c r="AE35" s="108">
        <f>IF(Y35&gt;0,W35,S35)</f>
        <v>0</v>
      </c>
      <c r="AF35" s="108">
        <f t="shared" si="8"/>
        <v>0</v>
      </c>
      <c r="AG35" s="108">
        <f t="shared" si="9"/>
        <v>173</v>
      </c>
      <c r="AH35" s="108">
        <f t="shared" si="46"/>
        <v>0</v>
      </c>
      <c r="AI35" s="127">
        <f t="shared" si="10"/>
        <v>58</v>
      </c>
      <c r="AJ35" s="108">
        <f t="shared" si="11"/>
        <v>0</v>
      </c>
      <c r="AM35" s="108">
        <f t="shared" si="12"/>
        <v>172.73</v>
      </c>
      <c r="AN35" s="108">
        <f t="shared" si="13"/>
        <v>0</v>
      </c>
      <c r="AQ35" s="108">
        <f t="shared" si="14"/>
        <v>345.73</v>
      </c>
      <c r="AR35" s="108">
        <f t="shared" si="15"/>
        <v>0</v>
      </c>
      <c r="AU35" s="108">
        <f t="shared" si="0"/>
        <v>172.73</v>
      </c>
      <c r="AV35" s="108">
        <f t="shared" si="119"/>
        <v>0</v>
      </c>
      <c r="AY35" s="108">
        <f t="shared" si="17"/>
        <v>576.46</v>
      </c>
      <c r="AZ35" s="108">
        <f t="shared" si="18"/>
        <v>0</v>
      </c>
      <c r="BA35" s="108">
        <f t="shared" si="19"/>
        <v>576.46</v>
      </c>
      <c r="BB35" s="139">
        <v>576.45999999999992</v>
      </c>
      <c r="BD35" s="139">
        <f t="shared" si="20"/>
        <v>0</v>
      </c>
      <c r="BE35" s="139">
        <f t="shared" si="21"/>
        <v>0</v>
      </c>
      <c r="BF35" s="139">
        <f t="shared" si="22"/>
        <v>115.29</v>
      </c>
      <c r="BG35" s="139">
        <f t="shared" si="23"/>
        <v>0</v>
      </c>
      <c r="BH35" s="108">
        <v>57.23</v>
      </c>
      <c r="BI35" s="108">
        <v>0</v>
      </c>
      <c r="BL35" s="108">
        <f t="shared" si="1"/>
        <v>633.69000000000005</v>
      </c>
      <c r="BM35" s="108">
        <f t="shared" si="24"/>
        <v>0</v>
      </c>
      <c r="BN35" s="108">
        <f t="shared" si="25"/>
        <v>633.69000000000005</v>
      </c>
      <c r="BO35" s="108">
        <v>576.45999999999992</v>
      </c>
      <c r="BP35" s="127"/>
      <c r="BQ35" s="108">
        <f t="shared" si="26"/>
        <v>57.230000000000132</v>
      </c>
      <c r="BR35" s="108">
        <f t="shared" si="27"/>
        <v>0</v>
      </c>
      <c r="BS35" s="108">
        <f t="shared" si="28"/>
        <v>52.41</v>
      </c>
      <c r="BT35" s="108">
        <f t="shared" si="29"/>
        <v>0</v>
      </c>
      <c r="BU35" s="108">
        <f>0+57.23</f>
        <v>57.23</v>
      </c>
      <c r="BV35" s="108">
        <f>ROUND(BT35-BR35,2)</f>
        <v>0</v>
      </c>
      <c r="CA35" s="108">
        <v>690.92000000000007</v>
      </c>
      <c r="CB35" s="108">
        <v>0</v>
      </c>
      <c r="CC35">
        <v>760.01</v>
      </c>
      <c r="CD35">
        <v>0</v>
      </c>
      <c r="CE35" s="189">
        <v>63</v>
      </c>
      <c r="CF35" s="189">
        <v>0</v>
      </c>
      <c r="CG35" s="189">
        <f t="shared" si="31"/>
        <v>172.73</v>
      </c>
      <c r="CH35" s="189">
        <f t="shared" si="32"/>
        <v>0</v>
      </c>
      <c r="CI35" s="150"/>
      <c r="CJ35" s="150"/>
      <c r="CK35" s="150">
        <v>189</v>
      </c>
      <c r="CL35" s="150">
        <v>0</v>
      </c>
      <c r="CM35" s="150"/>
      <c r="CN35" s="150"/>
      <c r="CO35" s="150">
        <v>1682.74</v>
      </c>
      <c r="CP35" s="150"/>
      <c r="CQ35" s="150">
        <f t="shared" si="33"/>
        <v>756</v>
      </c>
      <c r="CR35" s="150">
        <f t="shared" si="34"/>
        <v>0</v>
      </c>
      <c r="CS35" s="150">
        <f t="shared" si="35"/>
        <v>756</v>
      </c>
      <c r="CT35" s="150">
        <f t="shared" si="36"/>
        <v>0</v>
      </c>
      <c r="CU35" s="150">
        <v>770</v>
      </c>
      <c r="CV35" s="150">
        <v>0</v>
      </c>
      <c r="CW35" s="150">
        <f t="shared" si="37"/>
        <v>192.5</v>
      </c>
      <c r="CX35" s="150">
        <f t="shared" si="38"/>
        <v>0</v>
      </c>
      <c r="CY35" s="150"/>
      <c r="CZ35" s="150"/>
      <c r="DA35" s="150">
        <f t="shared" si="39"/>
        <v>444.5</v>
      </c>
      <c r="DB35" s="150">
        <f t="shared" si="40"/>
        <v>0</v>
      </c>
      <c r="DC35" s="150">
        <v>444.5</v>
      </c>
      <c r="DD35" s="150">
        <v>0</v>
      </c>
      <c r="DE35" s="150">
        <f t="shared" si="41"/>
        <v>0</v>
      </c>
      <c r="DF35" s="150">
        <f t="shared" si="42"/>
        <v>0</v>
      </c>
      <c r="DG35" s="150">
        <f>ROUND(0.25*(MIN(CU35,DO35)),2)</f>
        <v>192.5</v>
      </c>
      <c r="DH35" s="150">
        <f>ROUND(0.25*(MIN(CV35,DP35)),2)</f>
        <v>0</v>
      </c>
      <c r="DI35" s="150">
        <f>+DG35-DE35</f>
        <v>192.5</v>
      </c>
      <c r="DJ35" s="150">
        <f>+DH35-DF35</f>
        <v>0</v>
      </c>
      <c r="DK35" s="104">
        <f>+DO35-DA35-DI35</f>
        <v>133</v>
      </c>
      <c r="DL35" s="104">
        <f>+DP35-DB35-DJ35</f>
        <v>0</v>
      </c>
      <c r="DM35" s="104">
        <f t="shared" si="2"/>
        <v>133</v>
      </c>
      <c r="DN35" s="104">
        <f t="shared" si="3"/>
        <v>0</v>
      </c>
      <c r="DO35" s="104">
        <f>736+34</f>
        <v>770</v>
      </c>
      <c r="DQ35" s="178">
        <f>96.28+1838.65</f>
        <v>1934.93</v>
      </c>
    </row>
    <row r="36" spans="1:125" ht="18.75">
      <c r="A36" s="18"/>
      <c r="B36" s="18" t="s">
        <v>52</v>
      </c>
      <c r="C36" s="19" t="s">
        <v>45</v>
      </c>
      <c r="D36" s="20" t="s">
        <v>50</v>
      </c>
      <c r="E36" s="21" t="s">
        <v>53</v>
      </c>
      <c r="F36" s="22">
        <v>3524.42</v>
      </c>
      <c r="G36" s="22">
        <v>2275.63</v>
      </c>
      <c r="H36" s="22">
        <v>3524.42</v>
      </c>
      <c r="I36" s="22">
        <v>2275.63</v>
      </c>
      <c r="J36" s="88">
        <f t="shared" ref="J36:AA36" si="122">+J34+J35</f>
        <v>4890.28</v>
      </c>
      <c r="K36" s="88">
        <f t="shared" si="122"/>
        <v>0</v>
      </c>
      <c r="L36" s="88">
        <f t="shared" si="122"/>
        <v>0</v>
      </c>
      <c r="M36" s="88">
        <f t="shared" si="122"/>
        <v>4890.28</v>
      </c>
      <c r="N36" s="88">
        <f t="shared" si="122"/>
        <v>72.8</v>
      </c>
      <c r="O36" s="88">
        <f t="shared" si="122"/>
        <v>0</v>
      </c>
      <c r="P36" s="88">
        <f t="shared" si="122"/>
        <v>0</v>
      </c>
      <c r="Q36" s="88">
        <f t="shared" si="122"/>
        <v>72.8</v>
      </c>
      <c r="R36" s="88">
        <f t="shared" si="122"/>
        <v>4963.08</v>
      </c>
      <c r="S36" s="88">
        <f t="shared" si="122"/>
        <v>3000</v>
      </c>
      <c r="T36" s="88">
        <f t="shared" si="122"/>
        <v>0</v>
      </c>
      <c r="U36" s="88">
        <f t="shared" si="122"/>
        <v>0</v>
      </c>
      <c r="V36" s="88">
        <f t="shared" si="122"/>
        <v>3729.89</v>
      </c>
      <c r="W36" s="88">
        <f t="shared" si="122"/>
        <v>2350.04</v>
      </c>
      <c r="X36" s="88">
        <f t="shared" si="122"/>
        <v>1233.19</v>
      </c>
      <c r="Y36" s="88">
        <f t="shared" si="122"/>
        <v>649.96</v>
      </c>
      <c r="Z36" s="88">
        <f t="shared" si="122"/>
        <v>3698.97</v>
      </c>
      <c r="AA36" s="88">
        <f t="shared" si="122"/>
        <v>30.92</v>
      </c>
      <c r="AB36" s="22">
        <f t="shared" si="6"/>
        <v>3729.89</v>
      </c>
      <c r="AC36" s="109">
        <f t="shared" si="7"/>
        <v>0</v>
      </c>
      <c r="AD36" s="22">
        <f t="shared" ref="AD36:CP36" si="123">+AD34+AD35</f>
        <v>3729.89</v>
      </c>
      <c r="AE36" s="22">
        <f t="shared" si="123"/>
        <v>2350.04</v>
      </c>
      <c r="AF36" s="22">
        <f t="shared" si="123"/>
        <v>2706.6</v>
      </c>
      <c r="AG36" s="22">
        <f t="shared" si="123"/>
        <v>933</v>
      </c>
      <c r="AH36" s="22">
        <f t="shared" si="123"/>
        <v>588</v>
      </c>
      <c r="AI36" s="118">
        <f t="shared" si="123"/>
        <v>311</v>
      </c>
      <c r="AJ36" s="22">
        <f t="shared" si="123"/>
        <v>196</v>
      </c>
      <c r="AK36" s="22">
        <f t="shared" si="123"/>
        <v>0</v>
      </c>
      <c r="AL36" s="22">
        <f t="shared" si="123"/>
        <v>0</v>
      </c>
      <c r="AM36" s="22">
        <f t="shared" si="123"/>
        <v>932.47</v>
      </c>
      <c r="AN36" s="22">
        <f t="shared" si="123"/>
        <v>572.23</v>
      </c>
      <c r="AO36" s="22">
        <f t="shared" si="123"/>
        <v>0</v>
      </c>
      <c r="AP36" s="22">
        <f t="shared" si="123"/>
        <v>0</v>
      </c>
      <c r="AQ36" s="22">
        <f t="shared" si="123"/>
        <v>1865.47</v>
      </c>
      <c r="AR36" s="22">
        <f t="shared" si="123"/>
        <v>1160.23</v>
      </c>
      <c r="AS36" s="22">
        <f t="shared" si="123"/>
        <v>0</v>
      </c>
      <c r="AT36" s="22">
        <f t="shared" si="123"/>
        <v>0</v>
      </c>
      <c r="AU36" s="22">
        <f t="shared" si="123"/>
        <v>932.47</v>
      </c>
      <c r="AV36" s="22">
        <f t="shared" si="123"/>
        <v>587.51</v>
      </c>
      <c r="AW36" s="22">
        <f t="shared" si="123"/>
        <v>0</v>
      </c>
      <c r="AX36" s="22">
        <f t="shared" si="123"/>
        <v>0</v>
      </c>
      <c r="AY36" s="22">
        <f t="shared" si="123"/>
        <v>3108.94</v>
      </c>
      <c r="AZ36" s="22">
        <f t="shared" si="123"/>
        <v>1943.74</v>
      </c>
      <c r="BA36" s="22">
        <f t="shared" si="123"/>
        <v>5052.68</v>
      </c>
      <c r="BB36" s="22">
        <f t="shared" si="123"/>
        <v>2982.7</v>
      </c>
      <c r="BC36" s="22">
        <f t="shared" si="123"/>
        <v>1758.21</v>
      </c>
      <c r="BD36" s="22">
        <f t="shared" si="123"/>
        <v>126.24000000000024</v>
      </c>
      <c r="BE36" s="22">
        <f t="shared" si="123"/>
        <v>185.52999999999997</v>
      </c>
      <c r="BF36" s="22">
        <f t="shared" si="123"/>
        <v>596.54</v>
      </c>
      <c r="BG36" s="118">
        <f t="shared" si="123"/>
        <v>351.64</v>
      </c>
      <c r="BH36" s="118">
        <f t="shared" si="123"/>
        <v>234.73999999999998</v>
      </c>
      <c r="BI36" s="118">
        <f t="shared" si="123"/>
        <v>50</v>
      </c>
      <c r="BJ36" s="118">
        <f t="shared" si="123"/>
        <v>0</v>
      </c>
      <c r="BK36" s="118">
        <f t="shared" si="123"/>
        <v>0</v>
      </c>
      <c r="BL36" s="118">
        <f t="shared" si="123"/>
        <v>3343.68</v>
      </c>
      <c r="BM36" s="118">
        <f t="shared" si="123"/>
        <v>1993.74</v>
      </c>
      <c r="BN36" s="118">
        <f t="shared" si="123"/>
        <v>5337.42</v>
      </c>
      <c r="BO36" s="118">
        <f t="shared" si="123"/>
        <v>3228.42</v>
      </c>
      <c r="BP36" s="118">
        <f t="shared" si="123"/>
        <v>1968.87</v>
      </c>
      <c r="BQ36" s="22">
        <f t="shared" si="123"/>
        <v>115.25999999999988</v>
      </c>
      <c r="BR36" s="22">
        <f t="shared" si="123"/>
        <v>24.870000000000118</v>
      </c>
      <c r="BS36" s="22">
        <f t="shared" si="123"/>
        <v>293.5</v>
      </c>
      <c r="BT36" s="22">
        <f t="shared" si="123"/>
        <v>178.99</v>
      </c>
      <c r="BU36" s="22">
        <f t="shared" si="123"/>
        <v>280</v>
      </c>
      <c r="BV36" s="22">
        <f t="shared" si="123"/>
        <v>300</v>
      </c>
      <c r="BW36" s="22">
        <f t="shared" si="123"/>
        <v>0</v>
      </c>
      <c r="BX36" s="22">
        <f t="shared" si="123"/>
        <v>104.03</v>
      </c>
      <c r="BY36" s="22">
        <f t="shared" si="123"/>
        <v>0</v>
      </c>
      <c r="BZ36" s="22">
        <f t="shared" si="123"/>
        <v>0</v>
      </c>
      <c r="CA36" s="22">
        <f t="shared" si="123"/>
        <v>3623.68</v>
      </c>
      <c r="CB36" s="22">
        <f t="shared" si="123"/>
        <v>2397.77</v>
      </c>
      <c r="CC36" s="22">
        <f t="shared" si="123"/>
        <v>3986.05</v>
      </c>
      <c r="CD36" s="118">
        <f t="shared" si="123"/>
        <v>2757.44</v>
      </c>
      <c r="CE36" s="190">
        <f t="shared" si="123"/>
        <v>332</v>
      </c>
      <c r="CF36" s="190">
        <f t="shared" si="123"/>
        <v>230</v>
      </c>
      <c r="CG36" s="190">
        <f t="shared" si="123"/>
        <v>905.92000000000007</v>
      </c>
      <c r="CH36" s="190">
        <f t="shared" si="123"/>
        <v>599.44000000000005</v>
      </c>
      <c r="CI36" s="190">
        <f t="shared" si="123"/>
        <v>0</v>
      </c>
      <c r="CJ36" s="190">
        <f t="shared" si="123"/>
        <v>0</v>
      </c>
      <c r="CK36" s="190">
        <f t="shared" si="123"/>
        <v>969</v>
      </c>
      <c r="CL36" s="190">
        <f t="shared" si="123"/>
        <v>640</v>
      </c>
      <c r="CM36" s="190">
        <f t="shared" si="123"/>
        <v>0</v>
      </c>
      <c r="CN36" s="190">
        <f t="shared" si="123"/>
        <v>0</v>
      </c>
      <c r="CO36" s="190">
        <f t="shared" si="123"/>
        <v>5329.5</v>
      </c>
      <c r="CP36" s="190">
        <f t="shared" si="123"/>
        <v>3000</v>
      </c>
      <c r="CQ36" s="190">
        <f t="shared" ref="CQ36:DP36" si="124">+CQ34+CQ35</f>
        <v>3876</v>
      </c>
      <c r="CR36" s="190">
        <f t="shared" si="124"/>
        <v>2560</v>
      </c>
      <c r="CS36" s="190">
        <f t="shared" si="124"/>
        <v>3876</v>
      </c>
      <c r="CT36" s="190">
        <f t="shared" si="124"/>
        <v>2560</v>
      </c>
      <c r="CU36" s="190">
        <f t="shared" si="124"/>
        <v>3890</v>
      </c>
      <c r="CV36" s="190">
        <f t="shared" si="124"/>
        <v>2700</v>
      </c>
      <c r="CW36" s="190">
        <f t="shared" si="124"/>
        <v>972.5</v>
      </c>
      <c r="CX36" s="190">
        <f t="shared" si="124"/>
        <v>665</v>
      </c>
      <c r="CY36" s="190">
        <f t="shared" si="124"/>
        <v>0</v>
      </c>
      <c r="CZ36" s="190">
        <f t="shared" si="124"/>
        <v>0</v>
      </c>
      <c r="DA36" s="190">
        <f t="shared" si="124"/>
        <v>2273.5</v>
      </c>
      <c r="DB36" s="190">
        <f t="shared" si="124"/>
        <v>1535</v>
      </c>
      <c r="DC36" s="190">
        <f t="shared" si="124"/>
        <v>2235.09</v>
      </c>
      <c r="DD36" s="190">
        <f t="shared" si="124"/>
        <v>1305.51</v>
      </c>
      <c r="DE36" s="190">
        <f t="shared" si="124"/>
        <v>38.410000000000082</v>
      </c>
      <c r="DF36" s="190">
        <f t="shared" si="124"/>
        <v>229.49</v>
      </c>
      <c r="DG36" s="190">
        <f t="shared" si="124"/>
        <v>972.5</v>
      </c>
      <c r="DH36" s="190">
        <f t="shared" si="124"/>
        <v>675</v>
      </c>
      <c r="DI36" s="190">
        <f t="shared" si="124"/>
        <v>934.08999999999992</v>
      </c>
      <c r="DJ36" s="190">
        <f t="shared" si="124"/>
        <v>445.51</v>
      </c>
      <c r="DK36" s="186">
        <f t="shared" si="124"/>
        <v>712.41000000000008</v>
      </c>
      <c r="DL36" s="22">
        <f t="shared" si="124"/>
        <v>769.49</v>
      </c>
      <c r="DM36" s="104">
        <f t="shared" si="2"/>
        <v>682.41000000000008</v>
      </c>
      <c r="DN36" s="104">
        <f t="shared" si="3"/>
        <v>719.49</v>
      </c>
      <c r="DO36" s="22">
        <f t="shared" si="124"/>
        <v>3920</v>
      </c>
      <c r="DP36" s="22">
        <f t="shared" si="124"/>
        <v>2750</v>
      </c>
      <c r="DQ36" s="22">
        <f t="shared" ref="DQ36:DU36" si="125">+DQ34+DQ35</f>
        <v>5234.93</v>
      </c>
      <c r="DR36" s="22">
        <f t="shared" si="125"/>
        <v>3000</v>
      </c>
      <c r="DS36" s="22">
        <f t="shared" si="125"/>
        <v>0</v>
      </c>
      <c r="DT36" s="22">
        <f t="shared" si="125"/>
        <v>0</v>
      </c>
      <c r="DU36" s="22">
        <f t="shared" si="125"/>
        <v>0</v>
      </c>
    </row>
    <row r="37" spans="1:125" ht="18.75">
      <c r="A37" s="13">
        <v>25</v>
      </c>
      <c r="B37" s="13"/>
      <c r="C37" s="14"/>
      <c r="D37" s="15" t="s">
        <v>54</v>
      </c>
      <c r="E37" s="16"/>
      <c r="F37" s="81">
        <v>454.27000000000004</v>
      </c>
      <c r="G37" s="81">
        <v>6</v>
      </c>
      <c r="H37" s="81">
        <v>454.27000000000004</v>
      </c>
      <c r="I37" s="17">
        <v>6</v>
      </c>
      <c r="J37" s="100">
        <v>454.27</v>
      </c>
      <c r="K37" s="101">
        <v>0</v>
      </c>
      <c r="L37" s="101">
        <v>0</v>
      </c>
      <c r="M37" s="101">
        <f>J37+L37+K37</f>
        <v>454.27</v>
      </c>
      <c r="N37" s="101">
        <v>0</v>
      </c>
      <c r="O37" s="101">
        <v>0</v>
      </c>
      <c r="P37" s="101">
        <v>0</v>
      </c>
      <c r="Q37" s="101">
        <f>+N37+P37+O37</f>
        <v>0</v>
      </c>
      <c r="R37" s="101">
        <f>+Q37+M37</f>
        <v>454.27</v>
      </c>
      <c r="S37" s="101">
        <v>6</v>
      </c>
      <c r="V37" s="17">
        <f t="shared" ref="V37:V38" si="126">ROUND(H37*1.0583,2)</f>
        <v>480.75</v>
      </c>
      <c r="W37" s="17">
        <f t="shared" ref="W37:W38" si="127">ROUND(I37*1.0327,2)</f>
        <v>6.2</v>
      </c>
      <c r="X37" s="109">
        <f t="shared" si="4"/>
        <v>-26.480000000000018</v>
      </c>
      <c r="Y37" s="109">
        <f t="shared" si="5"/>
        <v>-0.20000000000000018</v>
      </c>
      <c r="Z37" s="116">
        <v>480</v>
      </c>
      <c r="AA37" s="116"/>
      <c r="AB37" s="116">
        <f t="shared" si="6"/>
        <v>480</v>
      </c>
      <c r="AC37" s="109">
        <f t="shared" si="7"/>
        <v>0</v>
      </c>
      <c r="AD37" s="108">
        <v>480</v>
      </c>
      <c r="AE37" s="108">
        <f>IF(Y37&gt;0,W37,S37)</f>
        <v>6</v>
      </c>
      <c r="AF37" s="108">
        <f t="shared" si="8"/>
        <v>5.41</v>
      </c>
      <c r="AG37" s="108">
        <f t="shared" si="9"/>
        <v>120</v>
      </c>
      <c r="AH37" s="108">
        <f t="shared" si="46"/>
        <v>2</v>
      </c>
      <c r="AI37" s="127">
        <f t="shared" si="10"/>
        <v>40</v>
      </c>
      <c r="AJ37" s="108">
        <f t="shared" si="11"/>
        <v>1</v>
      </c>
      <c r="AM37" s="108">
        <f t="shared" si="12"/>
        <v>120</v>
      </c>
      <c r="AN37" s="108">
        <f t="shared" si="13"/>
        <v>1.46</v>
      </c>
      <c r="AQ37" s="108">
        <f t="shared" si="14"/>
        <v>240</v>
      </c>
      <c r="AR37" s="108">
        <f t="shared" si="15"/>
        <v>3.46</v>
      </c>
      <c r="AU37" s="108">
        <f t="shared" si="0"/>
        <v>120</v>
      </c>
      <c r="AV37" s="108">
        <f t="shared" si="119"/>
        <v>1.5</v>
      </c>
      <c r="AY37" s="108">
        <f t="shared" si="17"/>
        <v>400</v>
      </c>
      <c r="AZ37" s="108">
        <f t="shared" si="18"/>
        <v>5.96</v>
      </c>
      <c r="BA37" s="108">
        <f t="shared" si="19"/>
        <v>405.96</v>
      </c>
      <c r="BB37" s="139">
        <v>380</v>
      </c>
      <c r="BC37" s="139">
        <v>1.1200000000000001</v>
      </c>
      <c r="BD37" s="139">
        <f t="shared" si="20"/>
        <v>20</v>
      </c>
      <c r="BE37" s="139">
        <f t="shared" si="21"/>
        <v>4.84</v>
      </c>
      <c r="BF37" s="139">
        <f t="shared" si="22"/>
        <v>76</v>
      </c>
      <c r="BG37" s="139">
        <f t="shared" si="23"/>
        <v>0.22</v>
      </c>
      <c r="BH37" s="108">
        <v>28</v>
      </c>
      <c r="BI37" s="108">
        <v>0</v>
      </c>
      <c r="BL37" s="108">
        <f t="shared" si="1"/>
        <v>428</v>
      </c>
      <c r="BM37" s="108">
        <f t="shared" si="24"/>
        <v>5.96</v>
      </c>
      <c r="BN37" s="108">
        <f t="shared" si="25"/>
        <v>433.96</v>
      </c>
      <c r="BO37" s="108">
        <v>420</v>
      </c>
      <c r="BP37" s="127">
        <v>1.23</v>
      </c>
      <c r="BQ37" s="108">
        <f t="shared" si="26"/>
        <v>8</v>
      </c>
      <c r="BR37" s="108">
        <f t="shared" si="27"/>
        <v>4.7300000000000004</v>
      </c>
      <c r="BS37" s="108">
        <f t="shared" si="28"/>
        <v>38.18</v>
      </c>
      <c r="BT37" s="108">
        <f t="shared" si="29"/>
        <v>0.11</v>
      </c>
      <c r="BU37" s="108">
        <f t="shared" si="47"/>
        <v>30.18</v>
      </c>
      <c r="BV37" s="108">
        <v>0</v>
      </c>
      <c r="BX37" s="108">
        <f>80+7</f>
        <v>87</v>
      </c>
      <c r="CA37" s="108">
        <v>458.18</v>
      </c>
      <c r="CB37" s="108">
        <v>92.96</v>
      </c>
      <c r="CC37">
        <v>504</v>
      </c>
      <c r="CD37">
        <v>106.9</v>
      </c>
      <c r="CE37" s="189">
        <v>42</v>
      </c>
      <c r="CF37" s="189">
        <v>3</v>
      </c>
      <c r="CG37" s="189">
        <f t="shared" si="31"/>
        <v>114.55</v>
      </c>
      <c r="CH37" s="189">
        <f t="shared" si="32"/>
        <v>23.24</v>
      </c>
      <c r="CI37" s="150"/>
      <c r="CJ37" s="150"/>
      <c r="CK37" s="150">
        <v>120</v>
      </c>
      <c r="CL37" s="150">
        <v>3.45</v>
      </c>
      <c r="CM37" s="150"/>
      <c r="CN37" s="150"/>
      <c r="CO37" s="150">
        <v>520</v>
      </c>
      <c r="CP37" s="150">
        <f>3+3.45</f>
        <v>6.45</v>
      </c>
      <c r="CQ37" s="150">
        <f t="shared" si="33"/>
        <v>480</v>
      </c>
      <c r="CR37" s="150">
        <f t="shared" si="34"/>
        <v>13.8</v>
      </c>
      <c r="CS37" s="150">
        <f t="shared" si="35"/>
        <v>480</v>
      </c>
      <c r="CT37" s="150">
        <f t="shared" si="36"/>
        <v>6.45</v>
      </c>
      <c r="CU37" s="150">
        <v>480</v>
      </c>
      <c r="CV37" s="150">
        <f>6.45+3.55</f>
        <v>10</v>
      </c>
      <c r="CW37" s="150">
        <f t="shared" si="37"/>
        <v>120</v>
      </c>
      <c r="CX37" s="150">
        <f>ROUND(CV37*25%,2)-1.61-0.89</f>
        <v>0</v>
      </c>
      <c r="CY37" s="150"/>
      <c r="CZ37" s="150"/>
      <c r="DA37" s="150">
        <f t="shared" si="39"/>
        <v>282</v>
      </c>
      <c r="DB37" s="150">
        <f t="shared" si="40"/>
        <v>6.45</v>
      </c>
      <c r="DC37" s="150">
        <v>275</v>
      </c>
      <c r="DD37" s="150">
        <v>8</v>
      </c>
      <c r="DE37" s="150">
        <f t="shared" si="41"/>
        <v>7</v>
      </c>
      <c r="DF37" s="150">
        <f t="shared" si="42"/>
        <v>-1.5499999999999998</v>
      </c>
      <c r="DG37" s="150">
        <f>ROUND(0.25*(MIN(CU37,DO37)),2)</f>
        <v>120</v>
      </c>
      <c r="DH37" s="150">
        <f>ROUND(0.25*(MIN(CV37,DP37)),2)</f>
        <v>2.5</v>
      </c>
      <c r="DI37" s="150">
        <f>+DG37-DE37</f>
        <v>113</v>
      </c>
      <c r="DJ37" s="150">
        <f>+DH37-DF37-0.5</f>
        <v>3.55</v>
      </c>
      <c r="DK37" s="104">
        <f>+DO37-DA37-DI37</f>
        <v>90</v>
      </c>
      <c r="DL37" s="104">
        <f>+DP37-DB37-DJ37</f>
        <v>2.8200000000000003</v>
      </c>
      <c r="DM37" s="104">
        <f t="shared" si="2"/>
        <v>85</v>
      </c>
      <c r="DN37" s="104">
        <f t="shared" si="3"/>
        <v>0</v>
      </c>
      <c r="DO37" s="104">
        <v>485</v>
      </c>
      <c r="DP37" s="104">
        <v>12.82</v>
      </c>
      <c r="DQ37" s="104">
        <v>560</v>
      </c>
      <c r="DR37" s="104">
        <v>10</v>
      </c>
    </row>
    <row r="38" spans="1:125" ht="18.75">
      <c r="A38" s="13">
        <v>26</v>
      </c>
      <c r="B38" s="13"/>
      <c r="C38" s="14"/>
      <c r="D38" s="15" t="s">
        <v>55</v>
      </c>
      <c r="E38" s="16"/>
      <c r="F38" s="81">
        <v>0</v>
      </c>
      <c r="G38" s="81">
        <v>0</v>
      </c>
      <c r="H38" s="81">
        <v>0</v>
      </c>
      <c r="I38" s="17">
        <v>0</v>
      </c>
      <c r="J38" s="100">
        <v>0</v>
      </c>
      <c r="K38" s="101">
        <v>0</v>
      </c>
      <c r="L38" s="101">
        <v>0</v>
      </c>
      <c r="M38" s="101">
        <f>J38+L38+K38</f>
        <v>0</v>
      </c>
      <c r="N38" s="101">
        <v>0</v>
      </c>
      <c r="O38" s="101">
        <v>0</v>
      </c>
      <c r="P38" s="101">
        <v>0</v>
      </c>
      <c r="Q38" s="101">
        <f>+N38+P38+O38</f>
        <v>0</v>
      </c>
      <c r="R38" s="101">
        <f>+Q38+M38</f>
        <v>0</v>
      </c>
      <c r="S38" s="101"/>
      <c r="V38" s="17">
        <f t="shared" si="126"/>
        <v>0</v>
      </c>
      <c r="W38" s="17">
        <f t="shared" si="127"/>
        <v>0</v>
      </c>
      <c r="X38" s="108">
        <f t="shared" si="4"/>
        <v>0</v>
      </c>
      <c r="Y38" s="108">
        <f t="shared" si="5"/>
        <v>0</v>
      </c>
      <c r="Z38" s="116">
        <v>0</v>
      </c>
      <c r="AA38" s="116"/>
      <c r="AB38" s="108">
        <f t="shared" si="6"/>
        <v>0</v>
      </c>
      <c r="AC38" s="109">
        <f t="shared" si="7"/>
        <v>0</v>
      </c>
      <c r="AD38" s="108">
        <f>IF(X38&gt;0,V38,R38)</f>
        <v>0</v>
      </c>
      <c r="AE38" s="108">
        <f>IF(Y38&gt;0,W38,S38)</f>
        <v>0</v>
      </c>
      <c r="AF38" s="108">
        <f t="shared" si="8"/>
        <v>0</v>
      </c>
      <c r="AG38" s="108">
        <f t="shared" si="9"/>
        <v>0</v>
      </c>
      <c r="AH38" s="108">
        <f t="shared" si="46"/>
        <v>0</v>
      </c>
      <c r="AI38" s="127">
        <f t="shared" si="10"/>
        <v>0</v>
      </c>
      <c r="AJ38" s="108">
        <f t="shared" si="11"/>
        <v>0</v>
      </c>
      <c r="AM38" s="108">
        <f t="shared" si="12"/>
        <v>0</v>
      </c>
      <c r="AN38" s="108">
        <f t="shared" si="13"/>
        <v>0</v>
      </c>
      <c r="AQ38" s="108">
        <f t="shared" si="14"/>
        <v>0</v>
      </c>
      <c r="AR38" s="108">
        <f t="shared" si="15"/>
        <v>0</v>
      </c>
      <c r="AU38" s="108">
        <f t="shared" si="0"/>
        <v>0</v>
      </c>
      <c r="AV38" s="108">
        <f t="shared" si="119"/>
        <v>0</v>
      </c>
      <c r="AY38" s="108">
        <f t="shared" si="17"/>
        <v>0</v>
      </c>
      <c r="AZ38" s="108">
        <f t="shared" si="18"/>
        <v>0</v>
      </c>
      <c r="BA38" s="108">
        <f t="shared" si="19"/>
        <v>0</v>
      </c>
      <c r="BB38" s="139">
        <v>0</v>
      </c>
      <c r="BD38" s="139">
        <f t="shared" si="20"/>
        <v>0</v>
      </c>
      <c r="BE38" s="139">
        <f t="shared" si="21"/>
        <v>0</v>
      </c>
      <c r="BF38" s="139">
        <f t="shared" si="22"/>
        <v>0</v>
      </c>
      <c r="BG38" s="139">
        <f t="shared" si="23"/>
        <v>0</v>
      </c>
      <c r="BH38" s="108">
        <v>0</v>
      </c>
      <c r="BI38" s="108">
        <v>0</v>
      </c>
      <c r="BL38" s="108">
        <f t="shared" si="1"/>
        <v>0</v>
      </c>
      <c r="BM38" s="108">
        <f t="shared" si="24"/>
        <v>0</v>
      </c>
      <c r="BN38" s="108">
        <f t="shared" si="25"/>
        <v>0</v>
      </c>
      <c r="BP38" s="127"/>
      <c r="BQ38" s="108">
        <f t="shared" si="26"/>
        <v>0</v>
      </c>
      <c r="BR38" s="108">
        <f t="shared" si="27"/>
        <v>0</v>
      </c>
      <c r="BS38" s="108">
        <f t="shared" si="28"/>
        <v>0</v>
      </c>
      <c r="BT38" s="108">
        <f t="shared" si="29"/>
        <v>0</v>
      </c>
      <c r="BU38" s="108">
        <f t="shared" si="47"/>
        <v>0</v>
      </c>
      <c r="BV38" s="108">
        <f t="shared" ref="BV38:BV74" si="128">ROUND(BT38-BR38,2)</f>
        <v>0</v>
      </c>
      <c r="CA38" s="108">
        <v>0</v>
      </c>
      <c r="CB38" s="108">
        <v>0</v>
      </c>
      <c r="CC38">
        <v>0</v>
      </c>
      <c r="CD38">
        <v>0</v>
      </c>
      <c r="CE38" s="189">
        <v>0</v>
      </c>
      <c r="CF38" s="189">
        <v>0</v>
      </c>
      <c r="CG38" s="189">
        <f t="shared" si="31"/>
        <v>0</v>
      </c>
      <c r="CH38" s="189">
        <f t="shared" si="32"/>
        <v>0</v>
      </c>
      <c r="CI38" s="150"/>
      <c r="CJ38" s="150"/>
      <c r="CK38" s="150">
        <v>0</v>
      </c>
      <c r="CL38" s="150">
        <v>0</v>
      </c>
      <c r="CM38" s="150"/>
      <c r="CN38" s="150"/>
      <c r="CO38" s="150">
        <v>0</v>
      </c>
      <c r="CP38" s="150">
        <v>0</v>
      </c>
      <c r="CQ38" s="150">
        <f t="shared" si="33"/>
        <v>0</v>
      </c>
      <c r="CR38" s="150">
        <f t="shared" si="34"/>
        <v>0</v>
      </c>
      <c r="CS38" s="150">
        <f t="shared" si="35"/>
        <v>0</v>
      </c>
      <c r="CT38" s="150">
        <f t="shared" si="36"/>
        <v>0</v>
      </c>
      <c r="CU38" s="150">
        <v>0</v>
      </c>
      <c r="CV38" s="150">
        <v>0</v>
      </c>
      <c r="CW38" s="150">
        <f t="shared" si="37"/>
        <v>0</v>
      </c>
      <c r="CX38" s="150">
        <f t="shared" si="38"/>
        <v>0</v>
      </c>
      <c r="CY38" s="150"/>
      <c r="CZ38" s="150"/>
      <c r="DA38" s="150">
        <f t="shared" si="39"/>
        <v>0</v>
      </c>
      <c r="DB38" s="150">
        <f t="shared" si="40"/>
        <v>0</v>
      </c>
      <c r="DC38" s="150">
        <v>0</v>
      </c>
      <c r="DD38" s="150">
        <v>0</v>
      </c>
      <c r="DE38" s="150">
        <f t="shared" si="41"/>
        <v>0</v>
      </c>
      <c r="DF38" s="150">
        <f t="shared" si="42"/>
        <v>0</v>
      </c>
      <c r="DG38" s="150">
        <f>ROUND(0.25*(MIN(CU38,DO38)),2)</f>
        <v>0</v>
      </c>
      <c r="DH38" s="150">
        <f>ROUND(0.25*(MIN(CV38,DP38)),2)</f>
        <v>0</v>
      </c>
      <c r="DI38" s="150">
        <f>+DG38-DE38</f>
        <v>0</v>
      </c>
      <c r="DJ38" s="150">
        <f>+DH38-DF38</f>
        <v>0</v>
      </c>
      <c r="DK38" s="104">
        <f>+DO38-DA38-DI38</f>
        <v>0</v>
      </c>
      <c r="DL38" s="104">
        <f>+DP38-DB38-DJ38</f>
        <v>0</v>
      </c>
      <c r="DM38" s="104">
        <f t="shared" si="2"/>
        <v>0</v>
      </c>
      <c r="DN38" s="104">
        <f t="shared" si="3"/>
        <v>0</v>
      </c>
      <c r="DO38" s="104">
        <v>0</v>
      </c>
      <c r="DP38" s="104">
        <v>0</v>
      </c>
      <c r="DQ38" s="104">
        <v>0</v>
      </c>
      <c r="DR38" s="104">
        <v>0</v>
      </c>
    </row>
    <row r="39" spans="1:125" ht="18.75">
      <c r="A39" s="18"/>
      <c r="B39" s="18" t="s">
        <v>56</v>
      </c>
      <c r="C39" s="19" t="s">
        <v>45</v>
      </c>
      <c r="D39" s="20" t="s">
        <v>54</v>
      </c>
      <c r="E39" s="21" t="s">
        <v>57</v>
      </c>
      <c r="F39" s="22">
        <v>454.27000000000004</v>
      </c>
      <c r="G39" s="22">
        <v>6</v>
      </c>
      <c r="H39" s="22">
        <v>454.27000000000004</v>
      </c>
      <c r="I39" s="22">
        <v>6</v>
      </c>
      <c r="J39" s="88">
        <f t="shared" ref="J39:AA39" si="129">+J37+J38</f>
        <v>454.27</v>
      </c>
      <c r="K39" s="88">
        <f t="shared" si="129"/>
        <v>0</v>
      </c>
      <c r="L39" s="88">
        <f t="shared" si="129"/>
        <v>0</v>
      </c>
      <c r="M39" s="88">
        <f t="shared" si="129"/>
        <v>454.27</v>
      </c>
      <c r="N39" s="88">
        <f t="shared" si="129"/>
        <v>0</v>
      </c>
      <c r="O39" s="88">
        <f t="shared" si="129"/>
        <v>0</v>
      </c>
      <c r="P39" s="88">
        <f t="shared" si="129"/>
        <v>0</v>
      </c>
      <c r="Q39" s="88">
        <f t="shared" si="129"/>
        <v>0</v>
      </c>
      <c r="R39" s="88">
        <f t="shared" si="129"/>
        <v>454.27</v>
      </c>
      <c r="S39" s="88">
        <f t="shared" si="129"/>
        <v>6</v>
      </c>
      <c r="T39" s="88">
        <f t="shared" si="129"/>
        <v>0</v>
      </c>
      <c r="U39" s="88">
        <f t="shared" si="129"/>
        <v>0</v>
      </c>
      <c r="V39" s="88">
        <f t="shared" si="129"/>
        <v>480.75</v>
      </c>
      <c r="W39" s="88">
        <f t="shared" si="129"/>
        <v>6.2</v>
      </c>
      <c r="X39" s="88">
        <f t="shared" si="129"/>
        <v>-26.480000000000018</v>
      </c>
      <c r="Y39" s="88">
        <f t="shared" si="129"/>
        <v>-0.20000000000000018</v>
      </c>
      <c r="Z39" s="88">
        <f t="shared" si="129"/>
        <v>480</v>
      </c>
      <c r="AA39" s="88">
        <f t="shared" si="129"/>
        <v>0</v>
      </c>
      <c r="AB39" s="22">
        <f t="shared" si="6"/>
        <v>480</v>
      </c>
      <c r="AC39" s="109">
        <f t="shared" si="7"/>
        <v>0</v>
      </c>
      <c r="AD39" s="22">
        <f t="shared" ref="AD39:CP39" si="130">+AD37+AD38</f>
        <v>480</v>
      </c>
      <c r="AE39" s="22">
        <f t="shared" si="130"/>
        <v>6</v>
      </c>
      <c r="AF39" s="22">
        <f t="shared" si="130"/>
        <v>5.41</v>
      </c>
      <c r="AG39" s="22">
        <f t="shared" si="130"/>
        <v>120</v>
      </c>
      <c r="AH39" s="22">
        <f t="shared" si="130"/>
        <v>2</v>
      </c>
      <c r="AI39" s="118">
        <f t="shared" si="130"/>
        <v>40</v>
      </c>
      <c r="AJ39" s="22">
        <f t="shared" si="130"/>
        <v>1</v>
      </c>
      <c r="AK39" s="22">
        <f t="shared" si="130"/>
        <v>0</v>
      </c>
      <c r="AL39" s="22">
        <f t="shared" si="130"/>
        <v>0</v>
      </c>
      <c r="AM39" s="22">
        <f t="shared" si="130"/>
        <v>120</v>
      </c>
      <c r="AN39" s="22">
        <f t="shared" si="130"/>
        <v>1.46</v>
      </c>
      <c r="AO39" s="22">
        <f t="shared" si="130"/>
        <v>0</v>
      </c>
      <c r="AP39" s="22">
        <f t="shared" si="130"/>
        <v>0</v>
      </c>
      <c r="AQ39" s="22">
        <f t="shared" si="130"/>
        <v>240</v>
      </c>
      <c r="AR39" s="22">
        <f t="shared" si="130"/>
        <v>3.46</v>
      </c>
      <c r="AS39" s="22">
        <f t="shared" si="130"/>
        <v>0</v>
      </c>
      <c r="AT39" s="22">
        <f t="shared" si="130"/>
        <v>0</v>
      </c>
      <c r="AU39" s="22">
        <f t="shared" si="130"/>
        <v>120</v>
      </c>
      <c r="AV39" s="22">
        <f t="shared" si="130"/>
        <v>1.5</v>
      </c>
      <c r="AW39" s="22">
        <f t="shared" si="130"/>
        <v>0</v>
      </c>
      <c r="AX39" s="22">
        <f t="shared" si="130"/>
        <v>0</v>
      </c>
      <c r="AY39" s="22">
        <f t="shared" si="130"/>
        <v>400</v>
      </c>
      <c r="AZ39" s="22">
        <f t="shared" si="130"/>
        <v>5.96</v>
      </c>
      <c r="BA39" s="22">
        <f t="shared" si="130"/>
        <v>405.96</v>
      </c>
      <c r="BB39" s="22">
        <f t="shared" si="130"/>
        <v>380</v>
      </c>
      <c r="BC39" s="22">
        <f t="shared" si="130"/>
        <v>1.1200000000000001</v>
      </c>
      <c r="BD39" s="22">
        <f t="shared" si="130"/>
        <v>20</v>
      </c>
      <c r="BE39" s="22">
        <f t="shared" si="130"/>
        <v>4.84</v>
      </c>
      <c r="BF39" s="22">
        <f t="shared" si="130"/>
        <v>76</v>
      </c>
      <c r="BG39" s="118">
        <f t="shared" si="130"/>
        <v>0.22</v>
      </c>
      <c r="BH39" s="118">
        <f t="shared" si="130"/>
        <v>28</v>
      </c>
      <c r="BI39" s="118">
        <f t="shared" si="130"/>
        <v>0</v>
      </c>
      <c r="BJ39" s="118">
        <f t="shared" si="130"/>
        <v>0</v>
      </c>
      <c r="BK39" s="118">
        <f t="shared" si="130"/>
        <v>0</v>
      </c>
      <c r="BL39" s="118">
        <f t="shared" si="130"/>
        <v>428</v>
      </c>
      <c r="BM39" s="118">
        <f t="shared" si="130"/>
        <v>5.96</v>
      </c>
      <c r="BN39" s="118">
        <f t="shared" si="130"/>
        <v>433.96</v>
      </c>
      <c r="BO39" s="118">
        <f t="shared" si="130"/>
        <v>420</v>
      </c>
      <c r="BP39" s="118">
        <f t="shared" si="130"/>
        <v>1.23</v>
      </c>
      <c r="BQ39" s="22">
        <f t="shared" si="130"/>
        <v>8</v>
      </c>
      <c r="BR39" s="22">
        <f t="shared" si="130"/>
        <v>4.7300000000000004</v>
      </c>
      <c r="BS39" s="22">
        <f t="shared" si="130"/>
        <v>38.18</v>
      </c>
      <c r="BT39" s="22">
        <f t="shared" si="130"/>
        <v>0.11</v>
      </c>
      <c r="BU39" s="22">
        <f t="shared" si="130"/>
        <v>30.18</v>
      </c>
      <c r="BV39" s="22">
        <f t="shared" si="130"/>
        <v>0</v>
      </c>
      <c r="BW39" s="22">
        <f t="shared" si="130"/>
        <v>0</v>
      </c>
      <c r="BX39" s="22">
        <f t="shared" si="130"/>
        <v>87</v>
      </c>
      <c r="BY39" s="22">
        <f t="shared" si="130"/>
        <v>0</v>
      </c>
      <c r="BZ39" s="22">
        <f t="shared" si="130"/>
        <v>0</v>
      </c>
      <c r="CA39" s="22">
        <f t="shared" si="130"/>
        <v>458.18</v>
      </c>
      <c r="CB39" s="22">
        <f t="shared" si="130"/>
        <v>92.96</v>
      </c>
      <c r="CC39" s="22">
        <f t="shared" si="130"/>
        <v>504</v>
      </c>
      <c r="CD39" s="118">
        <f t="shared" si="130"/>
        <v>106.9</v>
      </c>
      <c r="CE39" s="190">
        <f t="shared" si="130"/>
        <v>42</v>
      </c>
      <c r="CF39" s="190">
        <f t="shared" si="130"/>
        <v>3</v>
      </c>
      <c r="CG39" s="190">
        <f t="shared" si="130"/>
        <v>114.55</v>
      </c>
      <c r="CH39" s="190">
        <f t="shared" si="130"/>
        <v>23.24</v>
      </c>
      <c r="CI39" s="190">
        <f t="shared" si="130"/>
        <v>0</v>
      </c>
      <c r="CJ39" s="190">
        <f t="shared" si="130"/>
        <v>0</v>
      </c>
      <c r="CK39" s="190">
        <f t="shared" si="130"/>
        <v>120</v>
      </c>
      <c r="CL39" s="190">
        <f t="shared" si="130"/>
        <v>3.45</v>
      </c>
      <c r="CM39" s="190">
        <f t="shared" si="130"/>
        <v>0</v>
      </c>
      <c r="CN39" s="190">
        <f t="shared" si="130"/>
        <v>0</v>
      </c>
      <c r="CO39" s="190">
        <f t="shared" si="130"/>
        <v>520</v>
      </c>
      <c r="CP39" s="190">
        <f t="shared" si="130"/>
        <v>6.45</v>
      </c>
      <c r="CQ39" s="190">
        <f t="shared" ref="CQ39:DO39" si="131">+CQ37+CQ38</f>
        <v>480</v>
      </c>
      <c r="CR39" s="190">
        <f t="shared" si="131"/>
        <v>13.8</v>
      </c>
      <c r="CS39" s="190">
        <f t="shared" si="131"/>
        <v>480</v>
      </c>
      <c r="CT39" s="190">
        <f t="shared" si="131"/>
        <v>6.45</v>
      </c>
      <c r="CU39" s="190">
        <f t="shared" si="131"/>
        <v>480</v>
      </c>
      <c r="CV39" s="190">
        <f t="shared" si="131"/>
        <v>10</v>
      </c>
      <c r="CW39" s="190">
        <f t="shared" si="131"/>
        <v>120</v>
      </c>
      <c r="CX39" s="190">
        <f t="shared" si="131"/>
        <v>0</v>
      </c>
      <c r="CY39" s="190">
        <f t="shared" si="131"/>
        <v>0</v>
      </c>
      <c r="CZ39" s="190">
        <f t="shared" si="131"/>
        <v>0</v>
      </c>
      <c r="DA39" s="190">
        <f t="shared" si="131"/>
        <v>282</v>
      </c>
      <c r="DB39" s="190">
        <f t="shared" si="131"/>
        <v>6.45</v>
      </c>
      <c r="DC39" s="190">
        <f t="shared" si="131"/>
        <v>275</v>
      </c>
      <c r="DD39" s="190">
        <f t="shared" si="131"/>
        <v>8</v>
      </c>
      <c r="DE39" s="190">
        <f t="shared" si="131"/>
        <v>7</v>
      </c>
      <c r="DF39" s="190">
        <f t="shared" si="131"/>
        <v>-1.5499999999999998</v>
      </c>
      <c r="DG39" s="190">
        <f t="shared" si="131"/>
        <v>120</v>
      </c>
      <c r="DH39" s="190">
        <f t="shared" si="131"/>
        <v>2.5</v>
      </c>
      <c r="DI39" s="190">
        <f t="shared" si="131"/>
        <v>113</v>
      </c>
      <c r="DJ39" s="190">
        <f t="shared" si="131"/>
        <v>3.55</v>
      </c>
      <c r="DK39" s="186">
        <f t="shared" si="131"/>
        <v>90</v>
      </c>
      <c r="DL39" s="22">
        <f t="shared" si="131"/>
        <v>2.8200000000000003</v>
      </c>
      <c r="DM39" s="104">
        <f t="shared" si="2"/>
        <v>85</v>
      </c>
      <c r="DN39" s="104">
        <f t="shared" si="3"/>
        <v>0</v>
      </c>
      <c r="DO39" s="22">
        <f t="shared" si="131"/>
        <v>485</v>
      </c>
      <c r="DP39" s="22">
        <f t="shared" ref="DP39:DU39" si="132">+DP37+DP38</f>
        <v>12.82</v>
      </c>
      <c r="DQ39" s="22">
        <f t="shared" si="132"/>
        <v>560</v>
      </c>
      <c r="DR39" s="22">
        <f t="shared" si="132"/>
        <v>10</v>
      </c>
      <c r="DS39" s="22">
        <f t="shared" si="132"/>
        <v>0</v>
      </c>
      <c r="DT39" s="22">
        <f t="shared" si="132"/>
        <v>0</v>
      </c>
      <c r="DU39" s="22">
        <f t="shared" si="132"/>
        <v>0</v>
      </c>
    </row>
    <row r="40" spans="1:125" ht="18.75">
      <c r="A40" s="13">
        <v>27</v>
      </c>
      <c r="B40" s="13"/>
      <c r="C40" s="14"/>
      <c r="D40" s="15" t="s">
        <v>58</v>
      </c>
      <c r="E40" s="16"/>
      <c r="F40" s="81">
        <v>4665.62</v>
      </c>
      <c r="G40" s="81">
        <v>3823.63</v>
      </c>
      <c r="H40" s="81">
        <v>4665.62</v>
      </c>
      <c r="I40" s="17">
        <v>3823.63</v>
      </c>
      <c r="J40" s="102">
        <v>5200</v>
      </c>
      <c r="K40" s="87">
        <v>35</v>
      </c>
      <c r="L40" s="87">
        <v>0</v>
      </c>
      <c r="M40" s="87">
        <f t="shared" ref="M40:M42" si="133">J40+K40+L40</f>
        <v>5235</v>
      </c>
      <c r="N40" s="87">
        <v>0</v>
      </c>
      <c r="O40" s="87">
        <v>0</v>
      </c>
      <c r="P40" s="87">
        <v>0</v>
      </c>
      <c r="Q40" s="87">
        <f t="shared" ref="Q40:Q48" si="134">N40+O40+P40</f>
        <v>0</v>
      </c>
      <c r="R40" s="87">
        <f t="shared" ref="R40:R84" si="135">Q40+M40</f>
        <v>5235</v>
      </c>
      <c r="S40" s="87">
        <v>4800</v>
      </c>
      <c r="V40" s="17">
        <f t="shared" ref="V40:V41" si="136">ROUND(H40*1.0583,2)</f>
        <v>4937.63</v>
      </c>
      <c r="W40" s="17">
        <f t="shared" ref="W40:W41" si="137">ROUND(I40*1.0327,2)</f>
        <v>3948.66</v>
      </c>
      <c r="X40" s="108">
        <f t="shared" si="4"/>
        <v>297.36999999999989</v>
      </c>
      <c r="Y40" s="108">
        <f t="shared" si="5"/>
        <v>851.34000000000015</v>
      </c>
      <c r="Z40" s="108">
        <v>4937.63</v>
      </c>
      <c r="AA40" s="108"/>
      <c r="AB40" s="108">
        <f t="shared" si="6"/>
        <v>4937.63</v>
      </c>
      <c r="AC40" s="109">
        <f t="shared" si="7"/>
        <v>0</v>
      </c>
      <c r="AD40" s="108">
        <f>IF(X40&gt;0,V40,R40)</f>
        <v>4937.63</v>
      </c>
      <c r="AE40" s="108">
        <f>IF(Y40&gt;0,W40,S40)</f>
        <v>3948.66</v>
      </c>
      <c r="AF40" s="108">
        <f t="shared" si="8"/>
        <v>4330.5600000000004</v>
      </c>
      <c r="AG40" s="108">
        <f t="shared" si="9"/>
        <v>1234</v>
      </c>
      <c r="AH40" s="108">
        <f t="shared" si="46"/>
        <v>987</v>
      </c>
      <c r="AI40" s="127">
        <f t="shared" si="10"/>
        <v>411</v>
      </c>
      <c r="AJ40" s="108">
        <f t="shared" si="11"/>
        <v>329</v>
      </c>
      <c r="AM40" s="108">
        <f t="shared" si="12"/>
        <v>1234.4100000000001</v>
      </c>
      <c r="AN40" s="108">
        <f t="shared" si="13"/>
        <v>961.5</v>
      </c>
      <c r="AQ40" s="108">
        <f t="shared" si="14"/>
        <v>2468.41</v>
      </c>
      <c r="AR40" s="108">
        <f t="shared" si="15"/>
        <v>1948.5</v>
      </c>
      <c r="AU40" s="108">
        <f t="shared" si="0"/>
        <v>1234.4100000000001</v>
      </c>
      <c r="AV40" s="108">
        <f t="shared" si="119"/>
        <v>987.17</v>
      </c>
      <c r="AX40" s="143">
        <v>550</v>
      </c>
      <c r="AY40" s="108">
        <f t="shared" si="17"/>
        <v>4113.82</v>
      </c>
      <c r="AZ40" s="108">
        <f t="shared" si="18"/>
        <v>3814.67</v>
      </c>
      <c r="BA40" s="108">
        <f t="shared" si="19"/>
        <v>7928.49</v>
      </c>
      <c r="BB40" s="139">
        <v>3849.4</v>
      </c>
      <c r="BC40" s="139">
        <v>3729.28</v>
      </c>
      <c r="BD40" s="139">
        <f t="shared" si="20"/>
        <v>264.41999999999962</v>
      </c>
      <c r="BE40" s="139">
        <f t="shared" si="21"/>
        <v>85.389999999999873</v>
      </c>
      <c r="BF40" s="139">
        <f t="shared" si="22"/>
        <v>769.88</v>
      </c>
      <c r="BG40" s="139">
        <f t="shared" si="23"/>
        <v>745.86</v>
      </c>
      <c r="BH40" s="108">
        <v>252.73</v>
      </c>
      <c r="BI40" s="108">
        <v>300</v>
      </c>
      <c r="BJ40" s="108">
        <v>100</v>
      </c>
      <c r="BL40" s="108">
        <f t="shared" si="1"/>
        <v>4466.5499999999993</v>
      </c>
      <c r="BM40" s="108">
        <f t="shared" si="24"/>
        <v>4114.67</v>
      </c>
      <c r="BN40" s="108">
        <f t="shared" si="25"/>
        <v>8581.2199999999993</v>
      </c>
      <c r="BO40" s="108">
        <v>4255.45</v>
      </c>
      <c r="BP40" s="127">
        <v>4014.28</v>
      </c>
      <c r="BQ40" s="108">
        <f t="shared" si="26"/>
        <v>211.09999999999945</v>
      </c>
      <c r="BR40" s="108">
        <f t="shared" si="27"/>
        <v>100.38999999999987</v>
      </c>
      <c r="BS40" s="108">
        <f t="shared" si="28"/>
        <v>386.86</v>
      </c>
      <c r="BT40" s="108">
        <f t="shared" si="29"/>
        <v>364.93</v>
      </c>
      <c r="BU40" s="108">
        <v>175.76</v>
      </c>
      <c r="BV40" s="108">
        <f t="shared" si="128"/>
        <v>264.54000000000002</v>
      </c>
      <c r="BW40" s="109">
        <v>180</v>
      </c>
      <c r="BX40" s="108">
        <v>50</v>
      </c>
      <c r="CA40" s="108">
        <v>4822.3099999999995</v>
      </c>
      <c r="CB40" s="108">
        <v>4429.21</v>
      </c>
      <c r="CC40">
        <v>5304.54</v>
      </c>
      <c r="CD40">
        <v>5093.59</v>
      </c>
      <c r="CE40" s="189">
        <v>442</v>
      </c>
      <c r="CF40" s="189">
        <v>424</v>
      </c>
      <c r="CG40" s="189">
        <f t="shared" si="31"/>
        <v>1205.58</v>
      </c>
      <c r="CH40" s="189">
        <f t="shared" si="32"/>
        <v>1107.3</v>
      </c>
      <c r="CI40" s="150"/>
      <c r="CJ40" s="150"/>
      <c r="CK40" s="150">
        <v>1250</v>
      </c>
      <c r="CL40" s="150">
        <v>1200</v>
      </c>
      <c r="CM40" s="150"/>
      <c r="CN40" s="150"/>
      <c r="CO40" s="150">
        <v>5300</v>
      </c>
      <c r="CP40" s="150">
        <v>4900</v>
      </c>
      <c r="CQ40" s="150">
        <f t="shared" si="33"/>
        <v>5000</v>
      </c>
      <c r="CR40" s="150">
        <f t="shared" si="34"/>
        <v>4800</v>
      </c>
      <c r="CS40" s="150">
        <f t="shared" si="35"/>
        <v>5000</v>
      </c>
      <c r="CT40" s="150">
        <f t="shared" si="36"/>
        <v>4800</v>
      </c>
      <c r="CU40" s="150">
        <v>5000</v>
      </c>
      <c r="CV40" s="150">
        <v>4800</v>
      </c>
      <c r="CW40" s="150">
        <f t="shared" si="37"/>
        <v>1250</v>
      </c>
      <c r="CX40" s="150">
        <f t="shared" si="38"/>
        <v>1200</v>
      </c>
      <c r="CY40" s="150"/>
      <c r="CZ40" s="150"/>
      <c r="DA40" s="150">
        <f t="shared" si="39"/>
        <v>2942</v>
      </c>
      <c r="DB40" s="150">
        <f t="shared" si="40"/>
        <v>2824</v>
      </c>
      <c r="DC40" s="150">
        <v>2757.13</v>
      </c>
      <c r="DD40" s="150">
        <v>2710.65</v>
      </c>
      <c r="DE40" s="150">
        <f t="shared" si="41"/>
        <v>184.86999999999989</v>
      </c>
      <c r="DF40" s="150">
        <f t="shared" si="42"/>
        <v>113.34999999999991</v>
      </c>
      <c r="DG40" s="150">
        <f t="shared" ref="DG40:DH42" si="138">ROUND(0.25*(MIN(CU40,DO40)),2)</f>
        <v>1250</v>
      </c>
      <c r="DH40" s="150">
        <f t="shared" si="138"/>
        <v>1200</v>
      </c>
      <c r="DI40" s="150">
        <f t="shared" ref="DI40:DJ42" si="139">+DG40-DE40</f>
        <v>1065.1300000000001</v>
      </c>
      <c r="DJ40" s="150">
        <f t="shared" si="139"/>
        <v>1086.6500000000001</v>
      </c>
      <c r="DK40" s="104">
        <f t="shared" ref="DK40:DL42" si="140">+DO40-DA40-DI40</f>
        <v>1042.8699999999999</v>
      </c>
      <c r="DL40" s="104">
        <f t="shared" si="140"/>
        <v>889.34999999999991</v>
      </c>
      <c r="DM40" s="104">
        <f t="shared" si="2"/>
        <v>992.86999999999989</v>
      </c>
      <c r="DN40" s="104">
        <f t="shared" si="3"/>
        <v>889.34999999999991</v>
      </c>
      <c r="DO40" s="104">
        <v>5050</v>
      </c>
      <c r="DP40" s="104">
        <v>4800</v>
      </c>
      <c r="DQ40" s="104">
        <v>5100</v>
      </c>
      <c r="DR40" s="104">
        <v>4800</v>
      </c>
    </row>
    <row r="41" spans="1:125" ht="18.75">
      <c r="A41" s="13">
        <v>28</v>
      </c>
      <c r="B41" s="13"/>
      <c r="C41" s="14"/>
      <c r="D41" s="15" t="s">
        <v>59</v>
      </c>
      <c r="E41" s="16"/>
      <c r="F41" s="81">
        <v>234.16</v>
      </c>
      <c r="G41" s="81">
        <v>0</v>
      </c>
      <c r="H41" s="81">
        <v>234.16</v>
      </c>
      <c r="I41" s="17">
        <v>0</v>
      </c>
      <c r="J41" s="86">
        <v>550</v>
      </c>
      <c r="K41" s="87">
        <v>0</v>
      </c>
      <c r="L41" s="87">
        <v>0</v>
      </c>
      <c r="M41" s="87">
        <f t="shared" si="133"/>
        <v>550</v>
      </c>
      <c r="N41" s="87">
        <v>0</v>
      </c>
      <c r="O41" s="87">
        <v>0</v>
      </c>
      <c r="P41" s="87">
        <v>0</v>
      </c>
      <c r="Q41" s="87">
        <f t="shared" si="134"/>
        <v>0</v>
      </c>
      <c r="R41" s="87">
        <f t="shared" si="135"/>
        <v>550</v>
      </c>
      <c r="S41" s="87">
        <v>0</v>
      </c>
      <c r="V41" s="17">
        <f t="shared" si="136"/>
        <v>247.81</v>
      </c>
      <c r="W41" s="17">
        <f t="shared" si="137"/>
        <v>0</v>
      </c>
      <c r="X41" s="108">
        <f t="shared" si="4"/>
        <v>302.19</v>
      </c>
      <c r="Y41" s="108">
        <f t="shared" si="5"/>
        <v>0</v>
      </c>
      <c r="Z41" s="108">
        <v>247.81</v>
      </c>
      <c r="AA41" s="108"/>
      <c r="AB41" s="108">
        <f t="shared" si="6"/>
        <v>247.81</v>
      </c>
      <c r="AC41" s="109">
        <f t="shared" si="7"/>
        <v>0</v>
      </c>
      <c r="AD41" s="108">
        <f t="shared" ref="AD41:AD42" si="141">IF(X41&gt;0,V41,R41)</f>
        <v>247.81</v>
      </c>
      <c r="AE41" s="108">
        <f t="shared" ref="AE41:AE42" si="142">IF(Y41&gt;0,W41,S41)</f>
        <v>0</v>
      </c>
      <c r="AF41" s="108">
        <f t="shared" si="8"/>
        <v>0</v>
      </c>
      <c r="AG41" s="108">
        <f t="shared" si="9"/>
        <v>62</v>
      </c>
      <c r="AH41" s="108">
        <f t="shared" si="46"/>
        <v>0</v>
      </c>
      <c r="AI41" s="127">
        <f t="shared" si="10"/>
        <v>21</v>
      </c>
      <c r="AJ41" s="108">
        <f t="shared" si="11"/>
        <v>0</v>
      </c>
      <c r="AM41" s="108">
        <f t="shared" si="12"/>
        <v>61.95</v>
      </c>
      <c r="AN41" s="108">
        <f t="shared" si="13"/>
        <v>0</v>
      </c>
      <c r="AQ41" s="108">
        <f t="shared" si="14"/>
        <v>123.95</v>
      </c>
      <c r="AR41" s="108">
        <f t="shared" si="15"/>
        <v>0</v>
      </c>
      <c r="AU41" s="108">
        <f t="shared" si="0"/>
        <v>61.95</v>
      </c>
      <c r="AV41" s="108">
        <f t="shared" si="119"/>
        <v>0</v>
      </c>
      <c r="AY41" s="108">
        <f t="shared" si="17"/>
        <v>206.9</v>
      </c>
      <c r="AZ41" s="108">
        <f t="shared" si="18"/>
        <v>0</v>
      </c>
      <c r="BA41" s="108">
        <f t="shared" si="19"/>
        <v>206.9</v>
      </c>
      <c r="BB41" s="139">
        <v>206.9</v>
      </c>
      <c r="BD41" s="139">
        <f t="shared" si="20"/>
        <v>0</v>
      </c>
      <c r="BE41" s="139">
        <f t="shared" si="21"/>
        <v>0</v>
      </c>
      <c r="BF41" s="139">
        <f t="shared" si="22"/>
        <v>41.38</v>
      </c>
      <c r="BG41" s="139">
        <f t="shared" si="23"/>
        <v>0</v>
      </c>
      <c r="BH41" s="108">
        <v>20.69</v>
      </c>
      <c r="BI41" s="108">
        <v>0</v>
      </c>
      <c r="BL41" s="108">
        <f t="shared" si="1"/>
        <v>227.59</v>
      </c>
      <c r="BM41" s="108">
        <f t="shared" si="24"/>
        <v>0</v>
      </c>
      <c r="BN41" s="108">
        <f t="shared" si="25"/>
        <v>227.59</v>
      </c>
      <c r="BO41" s="108">
        <v>206.9</v>
      </c>
      <c r="BP41" s="127"/>
      <c r="BQ41" s="108">
        <f t="shared" si="26"/>
        <v>20.689999999999998</v>
      </c>
      <c r="BR41" s="108">
        <f t="shared" si="27"/>
        <v>0</v>
      </c>
      <c r="BS41" s="108">
        <f t="shared" si="28"/>
        <v>18.809999999999999</v>
      </c>
      <c r="BT41" s="108">
        <f t="shared" si="29"/>
        <v>0</v>
      </c>
      <c r="BU41" s="108">
        <f t="shared" si="47"/>
        <v>-1.879999999999999</v>
      </c>
      <c r="BV41" s="108">
        <f t="shared" si="128"/>
        <v>0</v>
      </c>
      <c r="CA41" s="108">
        <v>225.71</v>
      </c>
      <c r="CB41" s="108">
        <v>0</v>
      </c>
      <c r="CC41">
        <v>248.28</v>
      </c>
      <c r="CD41">
        <v>0</v>
      </c>
      <c r="CE41" s="189">
        <v>21</v>
      </c>
      <c r="CF41" s="189">
        <v>0</v>
      </c>
      <c r="CG41" s="189">
        <f t="shared" si="31"/>
        <v>56.43</v>
      </c>
      <c r="CH41" s="189">
        <f t="shared" si="32"/>
        <v>0</v>
      </c>
      <c r="CI41" s="150"/>
      <c r="CJ41" s="150"/>
      <c r="CK41" s="150">
        <f>90-25</f>
        <v>65</v>
      </c>
      <c r="CL41" s="150">
        <v>0</v>
      </c>
      <c r="CM41" s="150"/>
      <c r="CN41" s="150"/>
      <c r="CO41" s="150">
        <v>363</v>
      </c>
      <c r="CP41" s="150"/>
      <c r="CQ41" s="150">
        <f t="shared" si="33"/>
        <v>260</v>
      </c>
      <c r="CR41" s="150">
        <f t="shared" si="34"/>
        <v>0</v>
      </c>
      <c r="CS41" s="150">
        <f t="shared" si="35"/>
        <v>260</v>
      </c>
      <c r="CT41" s="150">
        <f t="shared" si="36"/>
        <v>0</v>
      </c>
      <c r="CU41" s="150">
        <v>260</v>
      </c>
      <c r="CV41" s="150">
        <v>0</v>
      </c>
      <c r="CW41" s="150">
        <f t="shared" si="37"/>
        <v>65</v>
      </c>
      <c r="CX41" s="150">
        <f t="shared" si="38"/>
        <v>0</v>
      </c>
      <c r="CY41" s="150"/>
      <c r="CZ41" s="150"/>
      <c r="DA41" s="150">
        <f t="shared" si="39"/>
        <v>151</v>
      </c>
      <c r="DB41" s="150">
        <f t="shared" si="40"/>
        <v>0</v>
      </c>
      <c r="DC41" s="150">
        <v>151</v>
      </c>
      <c r="DD41" s="150"/>
      <c r="DE41" s="150">
        <f t="shared" si="41"/>
        <v>0</v>
      </c>
      <c r="DF41" s="150">
        <f t="shared" si="42"/>
        <v>0</v>
      </c>
      <c r="DG41" s="150">
        <f t="shared" si="138"/>
        <v>65</v>
      </c>
      <c r="DH41" s="150">
        <f t="shared" si="138"/>
        <v>0</v>
      </c>
      <c r="DI41" s="150">
        <f t="shared" si="139"/>
        <v>65</v>
      </c>
      <c r="DJ41" s="150">
        <f t="shared" si="139"/>
        <v>0</v>
      </c>
      <c r="DK41" s="104">
        <f t="shared" si="140"/>
        <v>44</v>
      </c>
      <c r="DL41" s="104">
        <f t="shared" si="140"/>
        <v>0</v>
      </c>
      <c r="DM41" s="104">
        <f t="shared" si="2"/>
        <v>44</v>
      </c>
      <c r="DN41" s="104">
        <f t="shared" si="3"/>
        <v>0</v>
      </c>
      <c r="DO41" s="104">
        <v>260</v>
      </c>
      <c r="DP41" s="104">
        <v>0</v>
      </c>
      <c r="DQ41" s="104">
        <v>616</v>
      </c>
      <c r="DR41" s="104">
        <v>0</v>
      </c>
    </row>
    <row r="42" spans="1:125" ht="18.75">
      <c r="A42" s="13">
        <v>29</v>
      </c>
      <c r="B42" s="13"/>
      <c r="C42" s="14"/>
      <c r="D42" s="15" t="s">
        <v>60</v>
      </c>
      <c r="E42" s="16"/>
      <c r="F42" s="81">
        <v>0</v>
      </c>
      <c r="G42" s="81">
        <v>0</v>
      </c>
      <c r="H42" s="81">
        <v>0</v>
      </c>
      <c r="I42" s="17">
        <v>0</v>
      </c>
      <c r="J42" s="86">
        <v>0</v>
      </c>
      <c r="K42" s="87">
        <v>0</v>
      </c>
      <c r="L42" s="87">
        <v>0</v>
      </c>
      <c r="M42" s="87">
        <f t="shared" si="133"/>
        <v>0</v>
      </c>
      <c r="N42" s="87">
        <v>0</v>
      </c>
      <c r="O42" s="87">
        <v>0</v>
      </c>
      <c r="P42" s="87">
        <v>0</v>
      </c>
      <c r="Q42" s="87">
        <f t="shared" si="134"/>
        <v>0</v>
      </c>
      <c r="R42" s="87">
        <f t="shared" si="135"/>
        <v>0</v>
      </c>
      <c r="S42" s="87">
        <v>0</v>
      </c>
      <c r="V42" s="17">
        <f t="shared" ref="V42" si="143">ROUND(H42*1.0583,2)</f>
        <v>0</v>
      </c>
      <c r="W42" s="17">
        <f t="shared" ref="W42" si="144">ROUND(I42*1.0327,2)</f>
        <v>0</v>
      </c>
      <c r="X42" s="108">
        <f t="shared" si="4"/>
        <v>0</v>
      </c>
      <c r="Y42" s="108">
        <f t="shared" si="5"/>
        <v>0</v>
      </c>
      <c r="Z42" s="108">
        <v>0</v>
      </c>
      <c r="AA42" s="108"/>
      <c r="AB42" s="108">
        <f t="shared" si="6"/>
        <v>0</v>
      </c>
      <c r="AC42" s="109">
        <f t="shared" si="7"/>
        <v>0</v>
      </c>
      <c r="AD42" s="108">
        <f t="shared" si="141"/>
        <v>0</v>
      </c>
      <c r="AE42" s="108">
        <f t="shared" si="142"/>
        <v>0</v>
      </c>
      <c r="AF42" s="108">
        <f t="shared" si="8"/>
        <v>0</v>
      </c>
      <c r="AG42" s="108">
        <f t="shared" si="9"/>
        <v>0</v>
      </c>
      <c r="AH42" s="108">
        <f t="shared" si="46"/>
        <v>0</v>
      </c>
      <c r="AI42" s="127">
        <f t="shared" si="10"/>
        <v>0</v>
      </c>
      <c r="AJ42" s="108">
        <f t="shared" si="11"/>
        <v>0</v>
      </c>
      <c r="AM42" s="108">
        <f t="shared" si="12"/>
        <v>0</v>
      </c>
      <c r="AN42" s="108">
        <f t="shared" si="13"/>
        <v>0</v>
      </c>
      <c r="AQ42" s="108">
        <f t="shared" si="14"/>
        <v>0</v>
      </c>
      <c r="AR42" s="108">
        <f t="shared" si="15"/>
        <v>0</v>
      </c>
      <c r="AU42" s="108">
        <f t="shared" si="0"/>
        <v>0</v>
      </c>
      <c r="AV42" s="108">
        <f t="shared" si="119"/>
        <v>0</v>
      </c>
      <c r="AY42" s="108">
        <f t="shared" si="17"/>
        <v>0</v>
      </c>
      <c r="AZ42" s="108">
        <f t="shared" si="18"/>
        <v>0</v>
      </c>
      <c r="BA42" s="108">
        <f t="shared" si="19"/>
        <v>0</v>
      </c>
      <c r="BB42" s="139">
        <v>0</v>
      </c>
      <c r="BD42" s="139">
        <f t="shared" si="20"/>
        <v>0</v>
      </c>
      <c r="BE42" s="139">
        <f t="shared" si="21"/>
        <v>0</v>
      </c>
      <c r="BF42" s="139">
        <f t="shared" si="22"/>
        <v>0</v>
      </c>
      <c r="BG42" s="139">
        <f t="shared" si="23"/>
        <v>0</v>
      </c>
      <c r="BH42" s="108">
        <v>0</v>
      </c>
      <c r="BI42" s="108">
        <v>0</v>
      </c>
      <c r="BL42" s="108">
        <f t="shared" si="1"/>
        <v>0</v>
      </c>
      <c r="BM42" s="108">
        <f t="shared" si="24"/>
        <v>0</v>
      </c>
      <c r="BN42" s="108">
        <f t="shared" si="25"/>
        <v>0</v>
      </c>
      <c r="BP42" s="127"/>
      <c r="BQ42" s="108">
        <f t="shared" si="26"/>
        <v>0</v>
      </c>
      <c r="BR42" s="108">
        <f t="shared" si="27"/>
        <v>0</v>
      </c>
      <c r="BS42" s="108">
        <f t="shared" si="28"/>
        <v>0</v>
      </c>
      <c r="BT42" s="108">
        <f t="shared" si="29"/>
        <v>0</v>
      </c>
      <c r="BU42" s="108">
        <f t="shared" si="47"/>
        <v>0</v>
      </c>
      <c r="BV42" s="108">
        <f t="shared" si="128"/>
        <v>0</v>
      </c>
      <c r="CA42" s="108">
        <v>0</v>
      </c>
      <c r="CB42" s="108">
        <v>0</v>
      </c>
      <c r="CC42">
        <v>0</v>
      </c>
      <c r="CD42">
        <v>0</v>
      </c>
      <c r="CE42" s="189">
        <v>0</v>
      </c>
      <c r="CF42" s="189">
        <v>0</v>
      </c>
      <c r="CG42" s="189">
        <f t="shared" si="31"/>
        <v>0</v>
      </c>
      <c r="CH42" s="189">
        <f t="shared" si="32"/>
        <v>0</v>
      </c>
      <c r="CI42" s="150"/>
      <c r="CJ42" s="150"/>
      <c r="CK42" s="150">
        <v>0</v>
      </c>
      <c r="CL42" s="150">
        <v>0</v>
      </c>
      <c r="CM42" s="150"/>
      <c r="CN42" s="150"/>
      <c r="CO42" s="150">
        <v>0</v>
      </c>
      <c r="CP42" s="150">
        <v>0</v>
      </c>
      <c r="CQ42" s="150">
        <f t="shared" si="33"/>
        <v>0</v>
      </c>
      <c r="CR42" s="150">
        <f t="shared" si="34"/>
        <v>0</v>
      </c>
      <c r="CS42" s="150">
        <f t="shared" si="35"/>
        <v>0</v>
      </c>
      <c r="CT42" s="150">
        <f t="shared" si="36"/>
        <v>0</v>
      </c>
      <c r="CU42" s="150">
        <v>0</v>
      </c>
      <c r="CV42" s="150">
        <v>0</v>
      </c>
      <c r="CW42" s="150">
        <f t="shared" si="37"/>
        <v>0</v>
      </c>
      <c r="CX42" s="150">
        <f t="shared" si="38"/>
        <v>0</v>
      </c>
      <c r="CY42" s="150"/>
      <c r="CZ42" s="150"/>
      <c r="DA42" s="150">
        <f t="shared" si="39"/>
        <v>0</v>
      </c>
      <c r="DB42" s="150">
        <f t="shared" si="40"/>
        <v>0</v>
      </c>
      <c r="DC42" s="150"/>
      <c r="DD42" s="150"/>
      <c r="DE42" s="150">
        <f t="shared" si="41"/>
        <v>0</v>
      </c>
      <c r="DF42" s="150">
        <f t="shared" si="42"/>
        <v>0</v>
      </c>
      <c r="DG42" s="150">
        <f t="shared" si="138"/>
        <v>0</v>
      </c>
      <c r="DH42" s="150">
        <f t="shared" si="138"/>
        <v>0</v>
      </c>
      <c r="DI42" s="150">
        <f t="shared" si="139"/>
        <v>0</v>
      </c>
      <c r="DJ42" s="150">
        <f t="shared" si="139"/>
        <v>0</v>
      </c>
      <c r="DK42" s="104">
        <f t="shared" si="140"/>
        <v>0</v>
      </c>
      <c r="DL42" s="104">
        <f t="shared" si="140"/>
        <v>0</v>
      </c>
      <c r="DM42" s="104">
        <f t="shared" si="2"/>
        <v>0</v>
      </c>
      <c r="DN42" s="104">
        <f t="shared" si="3"/>
        <v>0</v>
      </c>
      <c r="DO42" s="104">
        <v>0</v>
      </c>
      <c r="DP42" s="104">
        <v>0</v>
      </c>
      <c r="DQ42" s="104">
        <v>0</v>
      </c>
      <c r="DR42" s="104">
        <v>0</v>
      </c>
    </row>
    <row r="43" spans="1:125" ht="18.75">
      <c r="A43" s="18"/>
      <c r="B43" s="18" t="s">
        <v>61</v>
      </c>
      <c r="C43" s="19" t="s">
        <v>40</v>
      </c>
      <c r="D43" s="20" t="s">
        <v>58</v>
      </c>
      <c r="E43" s="21" t="s">
        <v>62</v>
      </c>
      <c r="F43" s="22">
        <v>4899.78</v>
      </c>
      <c r="G43" s="22">
        <v>3823.63</v>
      </c>
      <c r="H43" s="22">
        <v>4899.78</v>
      </c>
      <c r="I43" s="22">
        <v>3823.63</v>
      </c>
      <c r="J43" s="88">
        <f t="shared" ref="J43:AA43" si="145">+J40+J41+J42</f>
        <v>5750</v>
      </c>
      <c r="K43" s="88">
        <f t="shared" si="145"/>
        <v>35</v>
      </c>
      <c r="L43" s="88">
        <f t="shared" si="145"/>
        <v>0</v>
      </c>
      <c r="M43" s="88">
        <f t="shared" si="145"/>
        <v>5785</v>
      </c>
      <c r="N43" s="88">
        <f t="shared" si="145"/>
        <v>0</v>
      </c>
      <c r="O43" s="88">
        <f t="shared" si="145"/>
        <v>0</v>
      </c>
      <c r="P43" s="88">
        <f t="shared" si="145"/>
        <v>0</v>
      </c>
      <c r="Q43" s="88">
        <f t="shared" si="145"/>
        <v>0</v>
      </c>
      <c r="R43" s="88">
        <f t="shared" si="145"/>
        <v>5785</v>
      </c>
      <c r="S43" s="88">
        <f t="shared" si="145"/>
        <v>4800</v>
      </c>
      <c r="T43" s="88">
        <f t="shared" si="145"/>
        <v>0</v>
      </c>
      <c r="U43" s="88">
        <f t="shared" si="145"/>
        <v>0</v>
      </c>
      <c r="V43" s="88">
        <f t="shared" si="145"/>
        <v>5185.4400000000005</v>
      </c>
      <c r="W43" s="88">
        <f t="shared" si="145"/>
        <v>3948.66</v>
      </c>
      <c r="X43" s="88">
        <f t="shared" si="145"/>
        <v>599.55999999999995</v>
      </c>
      <c r="Y43" s="88">
        <f t="shared" si="145"/>
        <v>851.34000000000015</v>
      </c>
      <c r="Z43" s="88">
        <f t="shared" si="145"/>
        <v>5185.4400000000005</v>
      </c>
      <c r="AA43" s="88">
        <f t="shared" si="145"/>
        <v>0</v>
      </c>
      <c r="AB43" s="22">
        <f t="shared" si="6"/>
        <v>5185.4400000000005</v>
      </c>
      <c r="AC43" s="109">
        <f t="shared" si="7"/>
        <v>0</v>
      </c>
      <c r="AD43" s="22">
        <f t="shared" ref="AD43:BM43" si="146">+AD40+AD41+AD42</f>
        <v>5185.4400000000005</v>
      </c>
      <c r="AE43" s="22">
        <f t="shared" si="146"/>
        <v>3948.66</v>
      </c>
      <c r="AF43" s="22">
        <f t="shared" si="146"/>
        <v>4330.5600000000004</v>
      </c>
      <c r="AG43" s="22">
        <f t="shared" si="146"/>
        <v>1296</v>
      </c>
      <c r="AH43" s="22">
        <f t="shared" si="146"/>
        <v>987</v>
      </c>
      <c r="AI43" s="118">
        <f t="shared" si="146"/>
        <v>432</v>
      </c>
      <c r="AJ43" s="22">
        <f t="shared" si="146"/>
        <v>329</v>
      </c>
      <c r="AK43" s="22">
        <f t="shared" si="146"/>
        <v>0</v>
      </c>
      <c r="AL43" s="22">
        <f t="shared" si="146"/>
        <v>0</v>
      </c>
      <c r="AM43" s="22">
        <f t="shared" si="146"/>
        <v>1296.3600000000001</v>
      </c>
      <c r="AN43" s="22">
        <f t="shared" si="146"/>
        <v>961.5</v>
      </c>
      <c r="AO43" s="22">
        <f t="shared" si="146"/>
        <v>0</v>
      </c>
      <c r="AP43" s="22">
        <f t="shared" si="146"/>
        <v>0</v>
      </c>
      <c r="AQ43" s="22">
        <f t="shared" si="146"/>
        <v>2592.3599999999997</v>
      </c>
      <c r="AR43" s="22">
        <f t="shared" si="146"/>
        <v>1948.5</v>
      </c>
      <c r="AS43" s="22">
        <f t="shared" si="146"/>
        <v>0</v>
      </c>
      <c r="AT43" s="22">
        <f t="shared" si="146"/>
        <v>0</v>
      </c>
      <c r="AU43" s="22">
        <f t="shared" si="146"/>
        <v>1296.3600000000001</v>
      </c>
      <c r="AV43" s="22">
        <f t="shared" si="146"/>
        <v>987.17</v>
      </c>
      <c r="AW43" s="22">
        <f t="shared" si="146"/>
        <v>0</v>
      </c>
      <c r="AX43" s="22">
        <f t="shared" si="146"/>
        <v>550</v>
      </c>
      <c r="AY43" s="22">
        <f t="shared" si="146"/>
        <v>4320.7199999999993</v>
      </c>
      <c r="AZ43" s="22">
        <f t="shared" si="146"/>
        <v>3814.67</v>
      </c>
      <c r="BA43" s="22">
        <f t="shared" si="146"/>
        <v>8135.3899999999994</v>
      </c>
      <c r="BB43" s="22">
        <f t="shared" si="146"/>
        <v>4056.3</v>
      </c>
      <c r="BC43" s="22">
        <f t="shared" si="146"/>
        <v>3729.28</v>
      </c>
      <c r="BD43" s="22">
        <f t="shared" si="146"/>
        <v>264.41999999999962</v>
      </c>
      <c r="BE43" s="22">
        <f t="shared" si="146"/>
        <v>85.389999999999873</v>
      </c>
      <c r="BF43" s="22">
        <f t="shared" si="146"/>
        <v>811.26</v>
      </c>
      <c r="BG43" s="118">
        <f t="shared" si="146"/>
        <v>745.86</v>
      </c>
      <c r="BH43" s="118">
        <f t="shared" si="146"/>
        <v>273.42</v>
      </c>
      <c r="BI43" s="118">
        <f t="shared" si="146"/>
        <v>300</v>
      </c>
      <c r="BJ43" s="118">
        <f t="shared" si="146"/>
        <v>100</v>
      </c>
      <c r="BK43" s="118">
        <f t="shared" si="146"/>
        <v>0</v>
      </c>
      <c r="BL43" s="118">
        <f t="shared" si="146"/>
        <v>4694.1399999999994</v>
      </c>
      <c r="BM43" s="118">
        <f t="shared" si="146"/>
        <v>4114.67</v>
      </c>
      <c r="BN43" s="118">
        <f t="shared" ref="BN43:DT43" si="147">+BN40+BN41+BN42</f>
        <v>8808.81</v>
      </c>
      <c r="BO43" s="118">
        <f t="shared" si="147"/>
        <v>4462.3499999999995</v>
      </c>
      <c r="BP43" s="118">
        <f t="shared" si="147"/>
        <v>4014.28</v>
      </c>
      <c r="BQ43" s="118">
        <f t="shared" si="147"/>
        <v>231.78999999999945</v>
      </c>
      <c r="BR43" s="118">
        <f t="shared" si="147"/>
        <v>100.38999999999987</v>
      </c>
      <c r="BS43" s="118">
        <f t="shared" si="147"/>
        <v>405.67</v>
      </c>
      <c r="BT43" s="118">
        <f t="shared" si="147"/>
        <v>364.93</v>
      </c>
      <c r="BU43" s="118">
        <f t="shared" si="147"/>
        <v>173.88</v>
      </c>
      <c r="BV43" s="118">
        <f t="shared" si="147"/>
        <v>264.54000000000002</v>
      </c>
      <c r="BW43" s="118">
        <f t="shared" si="147"/>
        <v>180</v>
      </c>
      <c r="BX43" s="118">
        <f t="shared" si="147"/>
        <v>50</v>
      </c>
      <c r="BY43" s="118">
        <f t="shared" si="147"/>
        <v>0</v>
      </c>
      <c r="BZ43" s="118">
        <f t="shared" si="147"/>
        <v>0</v>
      </c>
      <c r="CA43" s="118">
        <f t="shared" si="147"/>
        <v>5048.0199999999995</v>
      </c>
      <c r="CB43" s="118">
        <f t="shared" si="147"/>
        <v>4429.21</v>
      </c>
      <c r="CC43" s="118">
        <f t="shared" si="147"/>
        <v>5552.82</v>
      </c>
      <c r="CD43" s="118">
        <f t="shared" si="147"/>
        <v>5093.59</v>
      </c>
      <c r="CE43" s="190">
        <f t="shared" si="147"/>
        <v>463</v>
      </c>
      <c r="CF43" s="190">
        <f t="shared" si="147"/>
        <v>424</v>
      </c>
      <c r="CG43" s="190">
        <f t="shared" si="147"/>
        <v>1262.01</v>
      </c>
      <c r="CH43" s="190">
        <f t="shared" si="147"/>
        <v>1107.3</v>
      </c>
      <c r="CI43" s="190">
        <f t="shared" si="147"/>
        <v>0</v>
      </c>
      <c r="CJ43" s="190">
        <f t="shared" si="147"/>
        <v>0</v>
      </c>
      <c r="CK43" s="190">
        <f t="shared" si="147"/>
        <v>1315</v>
      </c>
      <c r="CL43" s="190">
        <f t="shared" si="147"/>
        <v>1200</v>
      </c>
      <c r="CM43" s="190">
        <f t="shared" si="147"/>
        <v>0</v>
      </c>
      <c r="CN43" s="190">
        <f t="shared" si="147"/>
        <v>0</v>
      </c>
      <c r="CO43" s="190">
        <f t="shared" si="147"/>
        <v>5663</v>
      </c>
      <c r="CP43" s="190">
        <f t="shared" si="147"/>
        <v>4900</v>
      </c>
      <c r="CQ43" s="190">
        <f t="shared" si="147"/>
        <v>5260</v>
      </c>
      <c r="CR43" s="190">
        <f t="shared" si="147"/>
        <v>4800</v>
      </c>
      <c r="CS43" s="190">
        <f t="shared" si="147"/>
        <v>5260</v>
      </c>
      <c r="CT43" s="190">
        <f t="shared" si="147"/>
        <v>4800</v>
      </c>
      <c r="CU43" s="190">
        <f t="shared" si="147"/>
        <v>5260</v>
      </c>
      <c r="CV43" s="190">
        <f t="shared" si="147"/>
        <v>4800</v>
      </c>
      <c r="CW43" s="190">
        <f t="shared" si="147"/>
        <v>1315</v>
      </c>
      <c r="CX43" s="190">
        <f t="shared" si="147"/>
        <v>1200</v>
      </c>
      <c r="CY43" s="190">
        <f t="shared" si="147"/>
        <v>0</v>
      </c>
      <c r="CZ43" s="190">
        <f t="shared" si="147"/>
        <v>0</v>
      </c>
      <c r="DA43" s="190">
        <f t="shared" si="147"/>
        <v>3093</v>
      </c>
      <c r="DB43" s="190">
        <f t="shared" si="147"/>
        <v>2824</v>
      </c>
      <c r="DC43" s="190">
        <f t="shared" si="147"/>
        <v>2908.13</v>
      </c>
      <c r="DD43" s="190">
        <f t="shared" si="147"/>
        <v>2710.65</v>
      </c>
      <c r="DE43" s="190">
        <f t="shared" si="147"/>
        <v>184.86999999999989</v>
      </c>
      <c r="DF43" s="190">
        <f t="shared" si="147"/>
        <v>113.34999999999991</v>
      </c>
      <c r="DG43" s="190">
        <f t="shared" si="147"/>
        <v>1315</v>
      </c>
      <c r="DH43" s="190">
        <f t="shared" si="147"/>
        <v>1200</v>
      </c>
      <c r="DI43" s="190">
        <f t="shared" si="147"/>
        <v>1130.1300000000001</v>
      </c>
      <c r="DJ43" s="190">
        <f t="shared" si="147"/>
        <v>1086.6500000000001</v>
      </c>
      <c r="DK43" s="186">
        <f t="shared" si="147"/>
        <v>1086.8699999999999</v>
      </c>
      <c r="DL43" s="22">
        <f t="shared" si="147"/>
        <v>889.34999999999991</v>
      </c>
      <c r="DM43" s="104">
        <f t="shared" si="2"/>
        <v>1036.8699999999999</v>
      </c>
      <c r="DN43" s="104">
        <f t="shared" si="3"/>
        <v>889.34999999999991</v>
      </c>
      <c r="DO43" s="22">
        <f t="shared" si="147"/>
        <v>5310</v>
      </c>
      <c r="DP43" s="22">
        <f t="shared" si="147"/>
        <v>4800</v>
      </c>
      <c r="DQ43" s="22">
        <f t="shared" si="147"/>
        <v>5716</v>
      </c>
      <c r="DR43" s="22">
        <f t="shared" si="147"/>
        <v>4800</v>
      </c>
      <c r="DS43" s="22">
        <f t="shared" si="147"/>
        <v>0</v>
      </c>
      <c r="DT43" s="22">
        <f t="shared" si="147"/>
        <v>0</v>
      </c>
    </row>
    <row r="44" spans="1:125" ht="18.75">
      <c r="A44" s="18">
        <v>30</v>
      </c>
      <c r="B44" s="18" t="s">
        <v>63</v>
      </c>
      <c r="C44" s="19" t="s">
        <v>64</v>
      </c>
      <c r="D44" s="20" t="s">
        <v>65</v>
      </c>
      <c r="E44" s="21" t="s">
        <v>66</v>
      </c>
      <c r="F44" s="81">
        <v>3011.3900000000003</v>
      </c>
      <c r="G44" s="81">
        <v>350.65999999999997</v>
      </c>
      <c r="H44" s="81">
        <v>3011.3900000000003</v>
      </c>
      <c r="I44" s="22">
        <v>350.65999999999997</v>
      </c>
      <c r="J44" s="88">
        <v>3321</v>
      </c>
      <c r="K44" s="88">
        <v>490</v>
      </c>
      <c r="L44" s="88">
        <v>0</v>
      </c>
      <c r="M44" s="88">
        <f>J44+K44+L44</f>
        <v>3811</v>
      </c>
      <c r="N44" s="88">
        <v>0</v>
      </c>
      <c r="O44" s="88">
        <v>0</v>
      </c>
      <c r="P44" s="88">
        <v>0</v>
      </c>
      <c r="Q44" s="88">
        <f t="shared" si="134"/>
        <v>0</v>
      </c>
      <c r="R44" s="88">
        <f t="shared" si="135"/>
        <v>3811</v>
      </c>
      <c r="S44" s="88">
        <v>401.87</v>
      </c>
      <c r="V44" s="22">
        <f t="shared" ref="V44" si="148">ROUND(H44*1.0583,2)</f>
        <v>3186.95</v>
      </c>
      <c r="W44" s="17">
        <f t="shared" ref="W44" si="149">ROUND(I44*1.0327,2)</f>
        <v>362.13</v>
      </c>
      <c r="X44" s="22">
        <f t="shared" si="4"/>
        <v>624.05000000000018</v>
      </c>
      <c r="Y44" s="22">
        <f t="shared" si="5"/>
        <v>39.740000000000009</v>
      </c>
      <c r="Z44" s="22">
        <v>3186.95</v>
      </c>
      <c r="AA44" s="22"/>
      <c r="AB44" s="22">
        <f t="shared" si="6"/>
        <v>3186.95</v>
      </c>
      <c r="AC44" s="109">
        <f t="shared" si="7"/>
        <v>0</v>
      </c>
      <c r="AD44" s="22">
        <f t="shared" ref="AD44:AE46" si="150">IF(X44&gt;0,V44,R44)</f>
        <v>3186.95</v>
      </c>
      <c r="AE44" s="22">
        <f t="shared" si="150"/>
        <v>362.13</v>
      </c>
      <c r="AF44" s="22">
        <f t="shared" si="8"/>
        <v>362.57</v>
      </c>
      <c r="AG44" s="108">
        <f t="shared" si="9"/>
        <v>797</v>
      </c>
      <c r="AH44" s="108">
        <f t="shared" si="46"/>
        <v>91</v>
      </c>
      <c r="AI44" s="127">
        <f t="shared" si="10"/>
        <v>266</v>
      </c>
      <c r="AJ44" s="108">
        <f t="shared" si="11"/>
        <v>30</v>
      </c>
      <c r="AM44" s="108">
        <f t="shared" si="12"/>
        <v>796.74</v>
      </c>
      <c r="AN44" s="138">
        <f>ROUND(AE44*24.35%,2)+11.82+56.5</f>
        <v>156.5</v>
      </c>
      <c r="AO44" s="138"/>
      <c r="AP44" s="138"/>
      <c r="AQ44" s="108">
        <f t="shared" si="14"/>
        <v>1593.74</v>
      </c>
      <c r="AR44" s="108">
        <f t="shared" si="15"/>
        <v>247.5</v>
      </c>
      <c r="AU44" s="116">
        <f t="shared" si="0"/>
        <v>796.74</v>
      </c>
      <c r="AV44" s="116">
        <f t="shared" si="119"/>
        <v>90.53</v>
      </c>
      <c r="AW44" s="116"/>
      <c r="AX44" s="143">
        <v>105</v>
      </c>
      <c r="AY44" s="108">
        <f t="shared" si="17"/>
        <v>2656.48</v>
      </c>
      <c r="AZ44" s="108">
        <f t="shared" si="18"/>
        <v>473.03</v>
      </c>
      <c r="BA44" s="108">
        <f t="shared" si="19"/>
        <v>3129.51</v>
      </c>
      <c r="BB44" s="139">
        <v>2512.08</v>
      </c>
      <c r="BC44" s="139">
        <v>510.9</v>
      </c>
      <c r="BD44" s="139">
        <f t="shared" si="20"/>
        <v>144.40000000000009</v>
      </c>
      <c r="BE44" s="139">
        <f t="shared" si="21"/>
        <v>-37.870000000000005</v>
      </c>
      <c r="BF44" s="139">
        <f t="shared" si="22"/>
        <v>502.42</v>
      </c>
      <c r="BG44" s="139">
        <f t="shared" si="23"/>
        <v>102.18</v>
      </c>
      <c r="BH44" s="108">
        <v>179.01</v>
      </c>
      <c r="BI44" s="109">
        <v>19.7</v>
      </c>
      <c r="BJ44" s="109"/>
      <c r="BK44" s="109"/>
      <c r="BL44" s="108">
        <f t="shared" si="1"/>
        <v>2835.49</v>
      </c>
      <c r="BM44" s="108">
        <f t="shared" si="24"/>
        <v>492.72999999999996</v>
      </c>
      <c r="BN44" s="108">
        <f t="shared" ref="BN44:BN45" si="151">+BJ44+BA44+BL44</f>
        <v>5965</v>
      </c>
      <c r="BO44" s="108">
        <v>2820.47</v>
      </c>
      <c r="BP44" s="127">
        <v>478.74</v>
      </c>
      <c r="BQ44" s="108">
        <f t="shared" si="26"/>
        <v>15.019999999999982</v>
      </c>
      <c r="BR44" s="108">
        <f t="shared" si="27"/>
        <v>13.989999999999952</v>
      </c>
      <c r="BS44" s="108">
        <f t="shared" si="28"/>
        <v>256.41000000000003</v>
      </c>
      <c r="BT44" s="108">
        <f t="shared" si="29"/>
        <v>43.52</v>
      </c>
      <c r="BU44" s="108">
        <f t="shared" si="47"/>
        <v>241.39000000000004</v>
      </c>
      <c r="BV44" s="108">
        <v>10</v>
      </c>
      <c r="BW44" s="109">
        <v>130</v>
      </c>
      <c r="CA44" s="108">
        <v>3206.8799999999997</v>
      </c>
      <c r="CB44" s="108">
        <v>502.72999999999996</v>
      </c>
      <c r="CC44">
        <v>3527.57</v>
      </c>
      <c r="CD44">
        <v>578.14</v>
      </c>
      <c r="CE44" s="189">
        <v>294</v>
      </c>
      <c r="CF44" s="189">
        <v>48</v>
      </c>
      <c r="CG44" s="189">
        <f t="shared" si="31"/>
        <v>801.72</v>
      </c>
      <c r="CH44" s="189">
        <f t="shared" si="32"/>
        <v>125.68</v>
      </c>
      <c r="CI44" s="150"/>
      <c r="CJ44" s="150"/>
      <c r="CK44" s="150">
        <v>825</v>
      </c>
      <c r="CL44" s="150">
        <f>200-70</f>
        <v>130</v>
      </c>
      <c r="CM44" s="150"/>
      <c r="CN44" s="150"/>
      <c r="CO44" s="150">
        <v>3664</v>
      </c>
      <c r="CP44" s="150">
        <v>415</v>
      </c>
      <c r="CQ44" s="150">
        <f t="shared" si="33"/>
        <v>3300</v>
      </c>
      <c r="CR44" s="150">
        <f t="shared" si="34"/>
        <v>520</v>
      </c>
      <c r="CS44" s="150">
        <f t="shared" si="35"/>
        <v>3300</v>
      </c>
      <c r="CT44" s="150">
        <f t="shared" si="36"/>
        <v>415</v>
      </c>
      <c r="CU44" s="150">
        <v>3500</v>
      </c>
      <c r="CV44" s="150">
        <v>500</v>
      </c>
      <c r="CW44" s="150">
        <f t="shared" si="37"/>
        <v>875</v>
      </c>
      <c r="CX44" s="150">
        <f t="shared" si="38"/>
        <v>125</v>
      </c>
      <c r="CY44" s="150"/>
      <c r="CZ44" s="150"/>
      <c r="DA44" s="150">
        <f t="shared" si="39"/>
        <v>1994</v>
      </c>
      <c r="DB44" s="150">
        <f t="shared" si="40"/>
        <v>303</v>
      </c>
      <c r="DC44" s="150">
        <v>1933.65</v>
      </c>
      <c r="DD44" s="150">
        <v>253.19</v>
      </c>
      <c r="DE44" s="150">
        <f t="shared" si="41"/>
        <v>60.349999999999909</v>
      </c>
      <c r="DF44" s="150">
        <f t="shared" si="42"/>
        <v>49.81</v>
      </c>
      <c r="DG44" s="150">
        <f>ROUND(0.25*(MIN(CU44,DO44)),2)</f>
        <v>875</v>
      </c>
      <c r="DH44" s="150">
        <f>ROUND(0.25*(MIN(CV44,DP44)),2)</f>
        <v>125</v>
      </c>
      <c r="DI44" s="150">
        <f>+DG44-DE44</f>
        <v>814.65000000000009</v>
      </c>
      <c r="DJ44" s="150">
        <f>+DH44-DF44</f>
        <v>75.19</v>
      </c>
      <c r="DK44" s="104">
        <f t="shared" ref="DK44:DL48" si="152">+DO44-DA44-DI44</f>
        <v>691.34999999999991</v>
      </c>
      <c r="DL44" s="104">
        <f t="shared" si="152"/>
        <v>121.81</v>
      </c>
      <c r="DM44" s="104">
        <f t="shared" si="2"/>
        <v>691.34999999999991</v>
      </c>
      <c r="DN44" s="104">
        <f t="shared" si="3"/>
        <v>121.81</v>
      </c>
      <c r="DO44" s="104">
        <v>3500</v>
      </c>
      <c r="DP44" s="104">
        <v>500</v>
      </c>
      <c r="DQ44" s="104">
        <v>3925</v>
      </c>
      <c r="DR44" s="104">
        <v>575</v>
      </c>
    </row>
    <row r="45" spans="1:125" ht="18.75">
      <c r="A45" s="18">
        <v>31</v>
      </c>
      <c r="B45" s="18" t="s">
        <v>67</v>
      </c>
      <c r="C45" s="19" t="s">
        <v>68</v>
      </c>
      <c r="D45" s="20" t="s">
        <v>69</v>
      </c>
      <c r="E45" s="21" t="s">
        <v>70</v>
      </c>
      <c r="F45" s="81">
        <v>1255.0000000000002</v>
      </c>
      <c r="G45" s="81">
        <v>95.45</v>
      </c>
      <c r="H45" s="81">
        <v>1260.0000000000002</v>
      </c>
      <c r="I45" s="22">
        <v>95.45</v>
      </c>
      <c r="J45" s="88">
        <v>1400</v>
      </c>
      <c r="K45" s="88">
        <v>50</v>
      </c>
      <c r="L45" s="88">
        <v>0</v>
      </c>
      <c r="M45" s="88">
        <f>J45+K45+L45</f>
        <v>1450</v>
      </c>
      <c r="N45" s="88">
        <v>0</v>
      </c>
      <c r="O45" s="88">
        <v>0</v>
      </c>
      <c r="P45" s="88">
        <v>0</v>
      </c>
      <c r="Q45" s="88">
        <f t="shared" si="134"/>
        <v>0</v>
      </c>
      <c r="R45" s="88">
        <f t="shared" si="135"/>
        <v>1450</v>
      </c>
      <c r="S45" s="88">
        <v>200</v>
      </c>
      <c r="V45" s="22">
        <f t="shared" ref="V45:V48" si="153">ROUND(H45*1.0583,2)</f>
        <v>1333.46</v>
      </c>
      <c r="W45" s="17">
        <f t="shared" ref="W45:W48" si="154">ROUND(I45*1.0327,2)</f>
        <v>98.57</v>
      </c>
      <c r="X45" s="22">
        <f t="shared" si="4"/>
        <v>116.53999999999996</v>
      </c>
      <c r="Y45" s="22">
        <f t="shared" si="5"/>
        <v>101.43</v>
      </c>
      <c r="Z45" s="22">
        <v>1333.46</v>
      </c>
      <c r="AA45" s="22"/>
      <c r="AB45" s="22">
        <f t="shared" si="6"/>
        <v>1333.46</v>
      </c>
      <c r="AC45" s="109">
        <f t="shared" si="7"/>
        <v>0</v>
      </c>
      <c r="AD45" s="22">
        <f t="shared" si="150"/>
        <v>1333.46</v>
      </c>
      <c r="AE45" s="22">
        <f t="shared" si="150"/>
        <v>98.57</v>
      </c>
      <c r="AF45" s="22">
        <f t="shared" si="8"/>
        <v>180.44</v>
      </c>
      <c r="AG45" s="108">
        <f t="shared" si="9"/>
        <v>333</v>
      </c>
      <c r="AH45" s="108">
        <f t="shared" si="46"/>
        <v>25</v>
      </c>
      <c r="AI45" s="127">
        <f t="shared" si="10"/>
        <v>111</v>
      </c>
      <c r="AJ45" s="108">
        <f t="shared" si="11"/>
        <v>8</v>
      </c>
      <c r="AM45" s="108">
        <f t="shared" si="12"/>
        <v>333.37</v>
      </c>
      <c r="AN45" s="108">
        <f t="shared" si="13"/>
        <v>24</v>
      </c>
      <c r="AQ45" s="108">
        <f t="shared" si="14"/>
        <v>666.37</v>
      </c>
      <c r="AR45" s="108">
        <f t="shared" si="15"/>
        <v>49</v>
      </c>
      <c r="AU45" s="116">
        <f t="shared" si="0"/>
        <v>333.37</v>
      </c>
      <c r="AV45" s="116">
        <f>48+42</f>
        <v>90</v>
      </c>
      <c r="AW45" s="116"/>
      <c r="AX45" s="116"/>
      <c r="AY45" s="108">
        <f t="shared" si="17"/>
        <v>1110.74</v>
      </c>
      <c r="AZ45" s="108">
        <f t="shared" si="18"/>
        <v>147</v>
      </c>
      <c r="BA45" s="108">
        <f t="shared" si="19"/>
        <v>1257.74</v>
      </c>
      <c r="BB45" s="139">
        <v>1097.95</v>
      </c>
      <c r="BC45" s="139">
        <v>140.24</v>
      </c>
      <c r="BD45" s="139">
        <f t="shared" si="20"/>
        <v>12.789999999999964</v>
      </c>
      <c r="BE45" s="139">
        <f t="shared" si="21"/>
        <v>6.7599999999999909</v>
      </c>
      <c r="BF45" s="139">
        <f t="shared" si="22"/>
        <v>219.59</v>
      </c>
      <c r="BG45" s="139">
        <f t="shared" si="23"/>
        <v>28.05</v>
      </c>
      <c r="BH45" s="143">
        <v>112.1</v>
      </c>
      <c r="BI45" s="143">
        <v>40</v>
      </c>
      <c r="BJ45" s="143"/>
      <c r="BK45" s="143"/>
      <c r="BL45" s="108">
        <f t="shared" si="1"/>
        <v>1222.8399999999999</v>
      </c>
      <c r="BM45" s="108">
        <f t="shared" si="24"/>
        <v>187</v>
      </c>
      <c r="BN45" s="108">
        <f t="shared" si="151"/>
        <v>2480.58</v>
      </c>
      <c r="BO45" s="108">
        <v>1131.9100000000001</v>
      </c>
      <c r="BP45" s="127">
        <v>152.53</v>
      </c>
      <c r="BQ45" s="108">
        <f t="shared" si="26"/>
        <v>90.929999999999836</v>
      </c>
      <c r="BR45" s="108">
        <f t="shared" si="27"/>
        <v>34.47</v>
      </c>
      <c r="BS45" s="108">
        <f t="shared" si="28"/>
        <v>102.9</v>
      </c>
      <c r="BT45" s="108">
        <f t="shared" si="29"/>
        <v>13.87</v>
      </c>
      <c r="BU45" s="109">
        <v>0</v>
      </c>
      <c r="BV45" s="108">
        <v>0</v>
      </c>
      <c r="BW45" s="109">
        <f>112.1+7.19</f>
        <v>119.28999999999999</v>
      </c>
      <c r="BX45" s="108">
        <v>40</v>
      </c>
      <c r="CA45" s="108">
        <v>1342.1299999999999</v>
      </c>
      <c r="CB45" s="108">
        <v>227</v>
      </c>
      <c r="CC45">
        <v>1476.34</v>
      </c>
      <c r="CD45">
        <v>261.05</v>
      </c>
      <c r="CE45" s="189">
        <v>123</v>
      </c>
      <c r="CF45" s="189">
        <v>22</v>
      </c>
      <c r="CG45" s="189">
        <f t="shared" si="31"/>
        <v>335.53</v>
      </c>
      <c r="CH45" s="189">
        <f t="shared" si="32"/>
        <v>56.75</v>
      </c>
      <c r="CI45" s="150"/>
      <c r="CJ45" s="150"/>
      <c r="CK45" s="150">
        <v>330.75</v>
      </c>
      <c r="CL45" s="150">
        <f>76-15</f>
        <v>61</v>
      </c>
      <c r="CM45" s="150"/>
      <c r="CN45" s="150"/>
      <c r="CO45" s="150">
        <v>1450</v>
      </c>
      <c r="CP45" s="150">
        <v>100</v>
      </c>
      <c r="CQ45" s="150">
        <f t="shared" si="33"/>
        <v>1323</v>
      </c>
      <c r="CR45" s="150">
        <f t="shared" si="34"/>
        <v>244</v>
      </c>
      <c r="CS45" s="150">
        <f t="shared" si="35"/>
        <v>1323</v>
      </c>
      <c r="CT45" s="150">
        <f t="shared" si="36"/>
        <v>100</v>
      </c>
      <c r="CU45" s="150">
        <f t="shared" si="35"/>
        <v>1323</v>
      </c>
      <c r="CV45" s="150">
        <f>10+100</f>
        <v>110</v>
      </c>
      <c r="CW45" s="150">
        <v>330.75</v>
      </c>
      <c r="CX45" s="150">
        <v>7</v>
      </c>
      <c r="CY45" s="150"/>
      <c r="CZ45" s="150">
        <v>20</v>
      </c>
      <c r="DA45" s="150">
        <f t="shared" si="39"/>
        <v>784.5</v>
      </c>
      <c r="DB45" s="150">
        <f t="shared" si="40"/>
        <v>110</v>
      </c>
      <c r="DC45" s="150">
        <v>762.42</v>
      </c>
      <c r="DD45" s="150">
        <v>101.4</v>
      </c>
      <c r="DE45" s="150">
        <f t="shared" si="41"/>
        <v>22.080000000000041</v>
      </c>
      <c r="DF45" s="150">
        <f t="shared" si="42"/>
        <v>8.5999999999999943</v>
      </c>
      <c r="DG45" s="150">
        <v>330.75</v>
      </c>
      <c r="DH45" s="150">
        <v>25</v>
      </c>
      <c r="DI45" s="150">
        <f>+DG45-DE45</f>
        <v>308.66999999999996</v>
      </c>
      <c r="DJ45" s="150">
        <f>+DH45-DF45-16.4</f>
        <v>0</v>
      </c>
      <c r="DK45" s="104">
        <f t="shared" si="152"/>
        <v>500.67999999999995</v>
      </c>
      <c r="DL45" s="104">
        <f t="shared" si="152"/>
        <v>60</v>
      </c>
      <c r="DM45" s="104">
        <f t="shared" si="2"/>
        <v>229.83000000000004</v>
      </c>
      <c r="DN45" s="104">
        <f t="shared" si="3"/>
        <v>0</v>
      </c>
      <c r="DO45" s="104">
        <v>1593.85</v>
      </c>
      <c r="DP45" s="104">
        <v>170</v>
      </c>
      <c r="DQ45" s="104">
        <v>1800</v>
      </c>
      <c r="DR45" s="104">
        <v>300</v>
      </c>
    </row>
    <row r="46" spans="1:125" ht="18.75">
      <c r="A46" s="36">
        <v>32</v>
      </c>
      <c r="B46" s="36"/>
      <c r="C46" s="37"/>
      <c r="D46" s="38" t="s">
        <v>71</v>
      </c>
      <c r="E46" s="39"/>
      <c r="F46" s="81">
        <v>792.64</v>
      </c>
      <c r="G46" s="81">
        <v>217.26</v>
      </c>
      <c r="H46" s="81">
        <v>792.64</v>
      </c>
      <c r="I46" s="40">
        <v>237.26</v>
      </c>
      <c r="J46" s="90">
        <v>950</v>
      </c>
      <c r="K46" s="87">
        <v>0</v>
      </c>
      <c r="L46" s="87">
        <v>0</v>
      </c>
      <c r="M46" s="87">
        <f>J46+K46+L46</f>
        <v>950</v>
      </c>
      <c r="N46" s="87">
        <v>0</v>
      </c>
      <c r="O46" s="87">
        <v>0</v>
      </c>
      <c r="P46" s="87">
        <v>0</v>
      </c>
      <c r="Q46" s="87">
        <f t="shared" si="134"/>
        <v>0</v>
      </c>
      <c r="R46" s="87">
        <f t="shared" si="135"/>
        <v>950</v>
      </c>
      <c r="S46" s="87">
        <v>30</v>
      </c>
      <c r="V46" s="17">
        <f t="shared" si="153"/>
        <v>838.85</v>
      </c>
      <c r="W46" s="17">
        <f t="shared" si="154"/>
        <v>245.02</v>
      </c>
      <c r="X46" s="108">
        <f t="shared" si="4"/>
        <v>111.14999999999998</v>
      </c>
      <c r="Y46" s="109">
        <f t="shared" si="5"/>
        <v>-215.02</v>
      </c>
      <c r="Z46" s="116">
        <v>838.85</v>
      </c>
      <c r="AA46" s="116"/>
      <c r="AB46" s="116">
        <f t="shared" si="6"/>
        <v>838.85</v>
      </c>
      <c r="AC46" s="109">
        <v>0</v>
      </c>
      <c r="AD46" s="108">
        <f t="shared" si="150"/>
        <v>838.85</v>
      </c>
      <c r="AE46" s="108">
        <f t="shared" si="150"/>
        <v>30</v>
      </c>
      <c r="AF46" s="108">
        <f t="shared" si="8"/>
        <v>27.07</v>
      </c>
      <c r="AG46" s="108">
        <f t="shared" si="9"/>
        <v>210</v>
      </c>
      <c r="AH46" s="108">
        <f t="shared" si="46"/>
        <v>8</v>
      </c>
      <c r="AI46" s="127">
        <f t="shared" si="10"/>
        <v>70</v>
      </c>
      <c r="AJ46" s="108">
        <f t="shared" si="11"/>
        <v>3</v>
      </c>
      <c r="AM46" s="108">
        <f t="shared" si="12"/>
        <v>209.71</v>
      </c>
      <c r="AN46" s="108">
        <f t="shared" si="13"/>
        <v>7.31</v>
      </c>
      <c r="AQ46" s="108">
        <f t="shared" si="14"/>
        <v>419.71000000000004</v>
      </c>
      <c r="AR46" s="108">
        <f t="shared" si="15"/>
        <v>15.309999999999999</v>
      </c>
      <c r="AU46" s="116">
        <f t="shared" si="0"/>
        <v>209.71</v>
      </c>
      <c r="AV46" s="116">
        <f>ROUND(AE46*25%,2)</f>
        <v>7.5</v>
      </c>
      <c r="AW46" s="143">
        <v>50</v>
      </c>
      <c r="AX46" s="143">
        <v>3.19</v>
      </c>
      <c r="AY46" s="108">
        <f t="shared" si="17"/>
        <v>749.42000000000007</v>
      </c>
      <c r="AZ46" s="108">
        <f t="shared" si="18"/>
        <v>29</v>
      </c>
      <c r="BA46" s="108">
        <f t="shared" si="19"/>
        <v>778.42000000000007</v>
      </c>
      <c r="BB46" s="139">
        <v>744.49</v>
      </c>
      <c r="BC46" s="139">
        <v>20.81</v>
      </c>
      <c r="BD46" s="139">
        <f t="shared" si="20"/>
        <v>4.9300000000000637</v>
      </c>
      <c r="BE46" s="139">
        <f t="shared" si="21"/>
        <v>8.1900000000000013</v>
      </c>
      <c r="BF46" s="139">
        <f t="shared" si="22"/>
        <v>148.9</v>
      </c>
      <c r="BG46" s="139">
        <f t="shared" si="23"/>
        <v>4.16</v>
      </c>
      <c r="BH46" s="143">
        <v>85.29</v>
      </c>
      <c r="BI46" s="143">
        <v>5.5</v>
      </c>
      <c r="BJ46" s="143"/>
      <c r="BK46" s="143"/>
      <c r="BL46" s="108">
        <f t="shared" si="1"/>
        <v>834.71</v>
      </c>
      <c r="BM46" s="108">
        <f t="shared" si="24"/>
        <v>34.5</v>
      </c>
      <c r="BN46" s="108">
        <f t="shared" si="25"/>
        <v>869.21</v>
      </c>
      <c r="BO46" s="108">
        <v>823.46</v>
      </c>
      <c r="BP46" s="127">
        <v>21.42</v>
      </c>
      <c r="BQ46" s="108">
        <f t="shared" si="26"/>
        <v>11.25</v>
      </c>
      <c r="BR46" s="108">
        <f t="shared" si="27"/>
        <v>13.079999999999998</v>
      </c>
      <c r="BS46" s="108">
        <f t="shared" si="28"/>
        <v>74.86</v>
      </c>
      <c r="BT46" s="108">
        <f t="shared" si="29"/>
        <v>1.95</v>
      </c>
      <c r="BU46" s="108">
        <f>BS46-BQ46</f>
        <v>63.61</v>
      </c>
      <c r="BV46" s="108">
        <v>0</v>
      </c>
      <c r="BW46" s="109">
        <v>24.68</v>
      </c>
      <c r="CA46" s="108">
        <v>923</v>
      </c>
      <c r="CB46" s="108">
        <v>34.5</v>
      </c>
      <c r="CC46">
        <v>1015.3</v>
      </c>
      <c r="CD46">
        <v>39.68</v>
      </c>
      <c r="CE46" s="189">
        <v>85</v>
      </c>
      <c r="CF46" s="189">
        <v>3</v>
      </c>
      <c r="CG46" s="189">
        <f t="shared" si="31"/>
        <v>230.75</v>
      </c>
      <c r="CH46" s="189">
        <f t="shared" si="32"/>
        <v>8.6300000000000008</v>
      </c>
      <c r="CI46" s="150"/>
      <c r="CJ46" s="150"/>
      <c r="CK46" s="150">
        <f>280-10</f>
        <v>270</v>
      </c>
      <c r="CL46" s="150">
        <f>120-50-20</f>
        <v>50</v>
      </c>
      <c r="CM46" s="150"/>
      <c r="CN46" s="150">
        <v>60</v>
      </c>
      <c r="CO46" s="150">
        <v>955.75</v>
      </c>
      <c r="CP46" s="150">
        <v>200</v>
      </c>
      <c r="CQ46" s="150">
        <f t="shared" si="33"/>
        <v>1080</v>
      </c>
      <c r="CR46" s="150">
        <f t="shared" si="34"/>
        <v>200</v>
      </c>
      <c r="CS46" s="150">
        <f t="shared" si="35"/>
        <v>955.75</v>
      </c>
      <c r="CT46" s="150">
        <f t="shared" si="36"/>
        <v>200</v>
      </c>
      <c r="CU46" s="150">
        <f t="shared" si="35"/>
        <v>955.75</v>
      </c>
      <c r="CV46" s="150">
        <v>300</v>
      </c>
      <c r="CW46" s="150">
        <f t="shared" si="37"/>
        <v>238.94</v>
      </c>
      <c r="CX46" s="150">
        <f>ROUND(CV46*25%,2)-15</f>
        <v>60</v>
      </c>
      <c r="CY46" s="150"/>
      <c r="CZ46" s="150">
        <v>120</v>
      </c>
      <c r="DA46" s="150">
        <f t="shared" si="39"/>
        <v>593.94000000000005</v>
      </c>
      <c r="DB46" s="150">
        <f t="shared" si="40"/>
        <v>293</v>
      </c>
      <c r="DC46" s="150">
        <v>577.32000000000005</v>
      </c>
      <c r="DD46" s="150">
        <v>224.97</v>
      </c>
      <c r="DE46" s="150">
        <f t="shared" si="41"/>
        <v>16.620000000000005</v>
      </c>
      <c r="DF46" s="150">
        <f t="shared" si="42"/>
        <v>68.03</v>
      </c>
      <c r="DG46" s="150">
        <f t="shared" ref="DG46:DH48" si="155">ROUND(0.25*(MIN(CU46,DO46)),2)</f>
        <v>238.94</v>
      </c>
      <c r="DH46" s="150">
        <f t="shared" si="155"/>
        <v>73.25</v>
      </c>
      <c r="DI46" s="150">
        <f>+DG46-DE46</f>
        <v>222.32</v>
      </c>
      <c r="DJ46" s="150">
        <f>+DH46-DF46-5.22</f>
        <v>0</v>
      </c>
      <c r="DK46" s="104">
        <f t="shared" si="152"/>
        <v>153.73999999999995</v>
      </c>
      <c r="DL46" s="104">
        <f t="shared" si="152"/>
        <v>0</v>
      </c>
      <c r="DM46" s="104">
        <f t="shared" si="2"/>
        <v>139.48999999999995</v>
      </c>
      <c r="DN46" s="104">
        <f t="shared" si="3"/>
        <v>7</v>
      </c>
      <c r="DO46" s="104">
        <v>970</v>
      </c>
      <c r="DP46" s="104">
        <v>293</v>
      </c>
      <c r="DQ46" s="104">
        <v>1100</v>
      </c>
      <c r="DR46" s="104">
        <v>25</v>
      </c>
    </row>
    <row r="47" spans="1:125" ht="31.5">
      <c r="A47" s="13">
        <v>33</v>
      </c>
      <c r="B47" s="13"/>
      <c r="C47" s="14"/>
      <c r="D47" s="145" t="s">
        <v>555</v>
      </c>
      <c r="E47" s="16"/>
      <c r="F47" s="81">
        <v>223.15999999999997</v>
      </c>
      <c r="G47" s="81">
        <v>0</v>
      </c>
      <c r="H47" s="81">
        <v>223.15999999999997</v>
      </c>
      <c r="I47" s="17">
        <v>0</v>
      </c>
      <c r="J47" s="86">
        <v>232.1</v>
      </c>
      <c r="K47" s="87">
        <v>0</v>
      </c>
      <c r="L47" s="87">
        <v>0</v>
      </c>
      <c r="M47" s="87">
        <f t="shared" ref="M47:M48" si="156">J47+K47+L47</f>
        <v>232.1</v>
      </c>
      <c r="N47" s="87">
        <v>53.9</v>
      </c>
      <c r="O47" s="87">
        <v>0</v>
      </c>
      <c r="P47" s="87">
        <v>0</v>
      </c>
      <c r="Q47" s="87">
        <f t="shared" si="134"/>
        <v>53.9</v>
      </c>
      <c r="R47" s="87">
        <f t="shared" si="135"/>
        <v>286</v>
      </c>
      <c r="S47" s="87">
        <v>0</v>
      </c>
      <c r="V47" s="17">
        <f t="shared" si="153"/>
        <v>236.17</v>
      </c>
      <c r="W47" s="17">
        <f t="shared" si="154"/>
        <v>0</v>
      </c>
      <c r="X47" s="108">
        <f t="shared" si="4"/>
        <v>49.830000000000013</v>
      </c>
      <c r="Y47" s="108">
        <f t="shared" si="5"/>
        <v>0</v>
      </c>
      <c r="Z47" s="116">
        <f>360.17+312.05</f>
        <v>672.22</v>
      </c>
      <c r="AA47" s="116">
        <f>47.08+70</f>
        <v>117.08</v>
      </c>
      <c r="AB47" s="108">
        <f t="shared" si="6"/>
        <v>789.30000000000007</v>
      </c>
      <c r="AC47" s="109">
        <v>0</v>
      </c>
      <c r="AD47" s="108">
        <v>789.30000000000007</v>
      </c>
      <c r="AE47" s="108">
        <v>0</v>
      </c>
      <c r="AF47" s="108">
        <v>0</v>
      </c>
      <c r="AG47" s="108">
        <f>102+96</f>
        <v>198</v>
      </c>
      <c r="AH47" s="108">
        <v>0</v>
      </c>
      <c r="AI47" s="127">
        <f>34+32</f>
        <v>66</v>
      </c>
      <c r="AJ47" s="108">
        <v>0</v>
      </c>
      <c r="AM47" s="108">
        <f>101.81+95.51</f>
        <v>197.32</v>
      </c>
      <c r="AN47" s="108">
        <v>0</v>
      </c>
      <c r="AQ47" s="108">
        <f t="shared" si="14"/>
        <v>395.32</v>
      </c>
      <c r="AR47" s="108">
        <v>0</v>
      </c>
      <c r="AU47" s="116">
        <f>101.81+95.51</f>
        <v>197.32</v>
      </c>
      <c r="AV47" s="116">
        <v>0</v>
      </c>
      <c r="AW47" s="116"/>
      <c r="AX47" s="116"/>
      <c r="AY47" s="108">
        <f t="shared" si="17"/>
        <v>658.64</v>
      </c>
      <c r="AZ47" s="108">
        <f t="shared" si="18"/>
        <v>0</v>
      </c>
      <c r="BA47" s="108">
        <f t="shared" si="19"/>
        <v>658.64</v>
      </c>
      <c r="BB47" s="139">
        <f>534.9+318.22</f>
        <v>853.12</v>
      </c>
      <c r="BD47" s="139">
        <f t="shared" si="20"/>
        <v>-194.48000000000002</v>
      </c>
      <c r="BE47" s="139">
        <f t="shared" si="21"/>
        <v>0</v>
      </c>
      <c r="BF47" s="139">
        <f t="shared" si="22"/>
        <v>170.62</v>
      </c>
      <c r="BG47" s="139">
        <f t="shared" si="23"/>
        <v>0</v>
      </c>
      <c r="BH47" s="109">
        <v>132.55000000000001</v>
      </c>
      <c r="BI47" s="108">
        <v>0</v>
      </c>
      <c r="BL47" s="108">
        <f t="shared" si="1"/>
        <v>791.19</v>
      </c>
      <c r="BM47" s="108">
        <f t="shared" si="24"/>
        <v>0</v>
      </c>
      <c r="BN47" s="108">
        <f t="shared" si="25"/>
        <v>791.19</v>
      </c>
      <c r="BO47" s="108">
        <v>853.12</v>
      </c>
      <c r="BP47" s="127"/>
      <c r="BQ47" s="108">
        <f t="shared" si="26"/>
        <v>-61.92999999999995</v>
      </c>
      <c r="BR47" s="108">
        <f t="shared" si="27"/>
        <v>0</v>
      </c>
      <c r="BS47" s="108">
        <f t="shared" si="28"/>
        <v>77.56</v>
      </c>
      <c r="BT47" s="108">
        <f t="shared" si="29"/>
        <v>0</v>
      </c>
      <c r="BU47" s="108">
        <f t="shared" si="47"/>
        <v>139.48999999999995</v>
      </c>
      <c r="BV47" s="108">
        <f t="shared" si="128"/>
        <v>0</v>
      </c>
      <c r="CA47" s="108">
        <f>930.68-25.78-15.9</f>
        <v>889</v>
      </c>
      <c r="CB47" s="108">
        <v>0</v>
      </c>
      <c r="CC47">
        <v>1023.75</v>
      </c>
      <c r="CD47">
        <v>0</v>
      </c>
      <c r="CE47" s="189">
        <v>85</v>
      </c>
      <c r="CF47" s="189">
        <v>0</v>
      </c>
      <c r="CG47" s="189">
        <f t="shared" si="31"/>
        <v>222.25</v>
      </c>
      <c r="CH47" s="189">
        <f t="shared" si="32"/>
        <v>0</v>
      </c>
      <c r="CI47" s="150"/>
      <c r="CJ47" s="150"/>
      <c r="CK47" s="150">
        <v>200</v>
      </c>
      <c r="CL47" s="150">
        <v>0</v>
      </c>
      <c r="CM47" s="150"/>
      <c r="CN47" s="150"/>
      <c r="CO47" s="150">
        <v>1068</v>
      </c>
      <c r="CP47" s="150"/>
      <c r="CQ47" s="150">
        <f t="shared" si="33"/>
        <v>800</v>
      </c>
      <c r="CR47" s="150">
        <f t="shared" si="34"/>
        <v>0</v>
      </c>
      <c r="CS47" s="150">
        <f t="shared" si="35"/>
        <v>800</v>
      </c>
      <c r="CT47" s="150">
        <f t="shared" si="36"/>
        <v>0</v>
      </c>
      <c r="CU47" s="150">
        <f t="shared" si="35"/>
        <v>800</v>
      </c>
      <c r="CV47" s="150">
        <v>0</v>
      </c>
      <c r="CW47" s="150">
        <f t="shared" si="37"/>
        <v>200</v>
      </c>
      <c r="CX47" s="150">
        <f t="shared" si="38"/>
        <v>0</v>
      </c>
      <c r="CY47" s="150"/>
      <c r="CZ47" s="150"/>
      <c r="DA47" s="150">
        <f t="shared" si="39"/>
        <v>485</v>
      </c>
      <c r="DB47" s="150">
        <f t="shared" si="40"/>
        <v>0</v>
      </c>
      <c r="DC47" s="150">
        <v>485</v>
      </c>
      <c r="DD47" s="150">
        <v>0</v>
      </c>
      <c r="DE47" s="150">
        <f t="shared" si="41"/>
        <v>0</v>
      </c>
      <c r="DF47" s="150">
        <f t="shared" si="42"/>
        <v>0</v>
      </c>
      <c r="DG47" s="150">
        <f t="shared" si="155"/>
        <v>200</v>
      </c>
      <c r="DH47" s="150">
        <f t="shared" si="155"/>
        <v>0</v>
      </c>
      <c r="DI47" s="150">
        <f>+DG47-DE47</f>
        <v>200</v>
      </c>
      <c r="DJ47" s="150">
        <f>+DH47-DF47</f>
        <v>0</v>
      </c>
      <c r="DK47" s="104">
        <f t="shared" si="152"/>
        <v>201.26</v>
      </c>
      <c r="DL47" s="104">
        <f t="shared" si="152"/>
        <v>0</v>
      </c>
      <c r="DM47" s="104">
        <f t="shared" si="2"/>
        <v>115</v>
      </c>
      <c r="DN47" s="104">
        <f t="shared" si="3"/>
        <v>0</v>
      </c>
      <c r="DO47" s="104">
        <f>750+136.26</f>
        <v>886.26</v>
      </c>
      <c r="DP47" s="104">
        <v>0</v>
      </c>
      <c r="DQ47" s="178">
        <f>1228+159</f>
        <v>1387</v>
      </c>
      <c r="DR47" s="104">
        <v>0</v>
      </c>
    </row>
    <row r="48" spans="1:125" ht="31.5">
      <c r="A48" s="13">
        <v>34</v>
      </c>
      <c r="B48" s="13"/>
      <c r="C48" s="14"/>
      <c r="D48" s="145" t="s">
        <v>556</v>
      </c>
      <c r="E48" s="16"/>
      <c r="F48" s="81">
        <v>161.66</v>
      </c>
      <c r="G48" s="81">
        <v>0</v>
      </c>
      <c r="H48" s="81">
        <v>161.66</v>
      </c>
      <c r="I48" s="17">
        <v>0</v>
      </c>
      <c r="J48" s="86">
        <v>205.8</v>
      </c>
      <c r="K48" s="87">
        <v>0</v>
      </c>
      <c r="L48" s="87">
        <v>0</v>
      </c>
      <c r="M48" s="87">
        <f t="shared" si="156"/>
        <v>205.8</v>
      </c>
      <c r="N48" s="87">
        <v>17.2</v>
      </c>
      <c r="O48" s="87">
        <v>0</v>
      </c>
      <c r="P48" s="87">
        <v>0</v>
      </c>
      <c r="Q48" s="87">
        <f t="shared" si="134"/>
        <v>17.2</v>
      </c>
      <c r="R48" s="87">
        <f t="shared" si="135"/>
        <v>223</v>
      </c>
      <c r="S48" s="87">
        <v>0</v>
      </c>
      <c r="V48" s="17">
        <f t="shared" si="153"/>
        <v>171.08</v>
      </c>
      <c r="W48" s="17">
        <f t="shared" si="154"/>
        <v>0</v>
      </c>
      <c r="X48" s="108">
        <f t="shared" si="4"/>
        <v>51.919999999999987</v>
      </c>
      <c r="Y48" s="108">
        <f t="shared" si="5"/>
        <v>0</v>
      </c>
      <c r="Z48" s="108"/>
      <c r="AA48" s="108"/>
      <c r="AB48" s="108">
        <f t="shared" si="6"/>
        <v>0</v>
      </c>
      <c r="AC48" s="109">
        <v>0</v>
      </c>
      <c r="AD48" s="108"/>
      <c r="AE48" s="108">
        <v>0</v>
      </c>
      <c r="AF48" s="108">
        <v>0</v>
      </c>
      <c r="AG48" s="108"/>
      <c r="AH48" s="108">
        <v>0</v>
      </c>
      <c r="AI48" s="127"/>
      <c r="AJ48" s="108">
        <v>0</v>
      </c>
      <c r="AN48" s="108">
        <v>0</v>
      </c>
      <c r="AQ48" s="108">
        <f t="shared" si="14"/>
        <v>0</v>
      </c>
      <c r="AR48" s="108">
        <v>0</v>
      </c>
      <c r="AV48" s="108">
        <v>0</v>
      </c>
      <c r="AY48" s="108">
        <f t="shared" si="17"/>
        <v>0</v>
      </c>
      <c r="AZ48" s="108">
        <f t="shared" si="18"/>
        <v>0</v>
      </c>
      <c r="BA48" s="108">
        <f t="shared" si="19"/>
        <v>0</v>
      </c>
      <c r="BD48" s="139">
        <f t="shared" si="20"/>
        <v>0</v>
      </c>
      <c r="BE48" s="139">
        <f t="shared" si="21"/>
        <v>0</v>
      </c>
      <c r="BF48" s="139">
        <f t="shared" si="22"/>
        <v>0</v>
      </c>
      <c r="BG48" s="139">
        <f t="shared" si="23"/>
        <v>0</v>
      </c>
      <c r="BH48" s="108">
        <v>0</v>
      </c>
      <c r="BI48" s="108">
        <v>0</v>
      </c>
      <c r="BL48" s="108">
        <f t="shared" si="1"/>
        <v>0</v>
      </c>
      <c r="BM48" s="108">
        <f t="shared" si="24"/>
        <v>0</v>
      </c>
      <c r="BN48" s="108">
        <f t="shared" si="25"/>
        <v>0</v>
      </c>
      <c r="BO48" s="108">
        <v>0</v>
      </c>
      <c r="BP48" s="127"/>
      <c r="BQ48" s="108">
        <f t="shared" si="26"/>
        <v>0</v>
      </c>
      <c r="BR48" s="108">
        <f t="shared" si="27"/>
        <v>0</v>
      </c>
      <c r="BS48" s="108">
        <f t="shared" si="28"/>
        <v>0</v>
      </c>
      <c r="BT48" s="108">
        <f t="shared" si="29"/>
        <v>0</v>
      </c>
      <c r="BU48" s="108">
        <f t="shared" si="47"/>
        <v>0</v>
      </c>
      <c r="BV48" s="108">
        <f t="shared" si="128"/>
        <v>0</v>
      </c>
      <c r="CA48" s="108">
        <v>0</v>
      </c>
      <c r="CB48" s="108">
        <v>0</v>
      </c>
      <c r="CC48">
        <v>0</v>
      </c>
      <c r="CD48">
        <v>0</v>
      </c>
      <c r="CE48" s="189">
        <v>0</v>
      </c>
      <c r="CF48" s="189">
        <v>0</v>
      </c>
      <c r="CG48" s="189">
        <f t="shared" si="31"/>
        <v>0</v>
      </c>
      <c r="CH48" s="189">
        <f t="shared" si="32"/>
        <v>0</v>
      </c>
      <c r="CI48" s="150"/>
      <c r="CJ48" s="150"/>
      <c r="CK48" s="150">
        <v>0</v>
      </c>
      <c r="CL48" s="150">
        <v>0</v>
      </c>
      <c r="CM48" s="150"/>
      <c r="CN48" s="150"/>
      <c r="CO48" s="150"/>
      <c r="CP48" s="150"/>
      <c r="CQ48" s="150">
        <f t="shared" si="33"/>
        <v>0</v>
      </c>
      <c r="CR48" s="150">
        <f t="shared" si="34"/>
        <v>0</v>
      </c>
      <c r="CS48" s="150">
        <f t="shared" si="35"/>
        <v>0</v>
      </c>
      <c r="CT48" s="150">
        <f t="shared" si="36"/>
        <v>0</v>
      </c>
      <c r="CU48" s="150">
        <f t="shared" si="35"/>
        <v>0</v>
      </c>
      <c r="CV48" s="150">
        <v>0</v>
      </c>
      <c r="CW48" s="150">
        <f t="shared" si="37"/>
        <v>0</v>
      </c>
      <c r="CX48" s="150">
        <f t="shared" si="38"/>
        <v>0</v>
      </c>
      <c r="CY48" s="150"/>
      <c r="CZ48" s="150"/>
      <c r="DA48" s="150">
        <f t="shared" si="39"/>
        <v>0</v>
      </c>
      <c r="DB48" s="150">
        <f t="shared" si="40"/>
        <v>0</v>
      </c>
      <c r="DC48" s="150">
        <v>0</v>
      </c>
      <c r="DD48" s="150">
        <v>0</v>
      </c>
      <c r="DE48" s="150">
        <f t="shared" si="41"/>
        <v>0</v>
      </c>
      <c r="DF48" s="150">
        <f t="shared" si="42"/>
        <v>0</v>
      </c>
      <c r="DG48" s="150">
        <f t="shared" si="155"/>
        <v>0</v>
      </c>
      <c r="DH48" s="150">
        <f t="shared" si="155"/>
        <v>0</v>
      </c>
      <c r="DI48" s="150">
        <f>+DG48-DE48</f>
        <v>0</v>
      </c>
      <c r="DJ48" s="150">
        <f>+DH48-DF48</f>
        <v>0</v>
      </c>
      <c r="DK48" s="104">
        <f t="shared" si="152"/>
        <v>0</v>
      </c>
      <c r="DL48" s="104">
        <f t="shared" si="152"/>
        <v>0</v>
      </c>
      <c r="DM48" s="104">
        <f t="shared" si="2"/>
        <v>0</v>
      </c>
      <c r="DN48" s="104">
        <f t="shared" si="3"/>
        <v>0</v>
      </c>
      <c r="DO48" s="104">
        <v>0</v>
      </c>
      <c r="DP48" s="104">
        <v>0</v>
      </c>
      <c r="DQ48" s="104">
        <v>0</v>
      </c>
      <c r="DR48" s="104">
        <v>0</v>
      </c>
    </row>
    <row r="49" spans="1:126" ht="18.75">
      <c r="A49" s="18"/>
      <c r="B49" s="18" t="s">
        <v>72</v>
      </c>
      <c r="C49" s="19" t="s">
        <v>40</v>
      </c>
      <c r="D49" s="20" t="s">
        <v>71</v>
      </c>
      <c r="E49" s="21" t="s">
        <v>73</v>
      </c>
      <c r="F49" s="22">
        <v>1177.46</v>
      </c>
      <c r="G49" s="22">
        <v>217.26</v>
      </c>
      <c r="H49" s="22">
        <v>1177.46</v>
      </c>
      <c r="I49" s="22">
        <v>237.26</v>
      </c>
      <c r="J49" s="88">
        <f t="shared" ref="J49:AB49" si="157">+J46+J47+J48</f>
        <v>1387.8999999999999</v>
      </c>
      <c r="K49" s="88">
        <f t="shared" si="157"/>
        <v>0</v>
      </c>
      <c r="L49" s="88">
        <f t="shared" si="157"/>
        <v>0</v>
      </c>
      <c r="M49" s="88">
        <f t="shared" si="157"/>
        <v>1387.8999999999999</v>
      </c>
      <c r="N49" s="88">
        <f t="shared" si="157"/>
        <v>71.099999999999994</v>
      </c>
      <c r="O49" s="88">
        <f t="shared" si="157"/>
        <v>0</v>
      </c>
      <c r="P49" s="88">
        <f t="shared" si="157"/>
        <v>0</v>
      </c>
      <c r="Q49" s="88">
        <f t="shared" si="157"/>
        <v>71.099999999999994</v>
      </c>
      <c r="R49" s="88">
        <f t="shared" si="157"/>
        <v>1459</v>
      </c>
      <c r="S49" s="88">
        <f t="shared" si="157"/>
        <v>30</v>
      </c>
      <c r="T49" s="88">
        <f t="shared" si="157"/>
        <v>0</v>
      </c>
      <c r="U49" s="88">
        <f t="shared" si="157"/>
        <v>0</v>
      </c>
      <c r="V49" s="88">
        <f t="shared" si="157"/>
        <v>1246.0999999999999</v>
      </c>
      <c r="W49" s="88">
        <f t="shared" si="157"/>
        <v>245.02</v>
      </c>
      <c r="X49" s="88">
        <f t="shared" si="157"/>
        <v>212.89999999999998</v>
      </c>
      <c r="Y49" s="88">
        <f t="shared" si="157"/>
        <v>-215.02</v>
      </c>
      <c r="Z49" s="88">
        <f t="shared" si="157"/>
        <v>1511.0700000000002</v>
      </c>
      <c r="AA49" s="88">
        <f t="shared" si="157"/>
        <v>117.08</v>
      </c>
      <c r="AB49" s="88">
        <f t="shared" si="157"/>
        <v>1628.15</v>
      </c>
      <c r="AC49" s="109">
        <v>0</v>
      </c>
      <c r="AD49" s="22">
        <f t="shared" ref="AD49:CP49" si="158">+AD46+AD47+AD48</f>
        <v>1628.15</v>
      </c>
      <c r="AE49" s="22">
        <f t="shared" si="158"/>
        <v>30</v>
      </c>
      <c r="AF49" s="22">
        <f t="shared" si="158"/>
        <v>27.07</v>
      </c>
      <c r="AG49" s="22">
        <f t="shared" si="158"/>
        <v>408</v>
      </c>
      <c r="AH49" s="22">
        <f t="shared" si="158"/>
        <v>8</v>
      </c>
      <c r="AI49" s="118">
        <f t="shared" si="158"/>
        <v>136</v>
      </c>
      <c r="AJ49" s="22">
        <f t="shared" si="158"/>
        <v>3</v>
      </c>
      <c r="AK49" s="22">
        <f t="shared" si="158"/>
        <v>0</v>
      </c>
      <c r="AL49" s="22">
        <f t="shared" si="158"/>
        <v>0</v>
      </c>
      <c r="AM49" s="22">
        <f t="shared" si="158"/>
        <v>407.03</v>
      </c>
      <c r="AN49" s="22">
        <f t="shared" si="158"/>
        <v>7.31</v>
      </c>
      <c r="AO49" s="22">
        <f t="shared" si="158"/>
        <v>0</v>
      </c>
      <c r="AP49" s="22">
        <f t="shared" si="158"/>
        <v>0</v>
      </c>
      <c r="AQ49" s="22">
        <f t="shared" si="158"/>
        <v>815.03</v>
      </c>
      <c r="AR49" s="22">
        <f t="shared" si="158"/>
        <v>15.309999999999999</v>
      </c>
      <c r="AS49" s="22">
        <f t="shared" si="158"/>
        <v>0</v>
      </c>
      <c r="AT49" s="22">
        <f t="shared" si="158"/>
        <v>0</v>
      </c>
      <c r="AU49" s="22">
        <f t="shared" si="158"/>
        <v>407.03</v>
      </c>
      <c r="AV49" s="22">
        <f t="shared" si="158"/>
        <v>7.5</v>
      </c>
      <c r="AW49" s="22">
        <f t="shared" si="158"/>
        <v>50</v>
      </c>
      <c r="AX49" s="22">
        <f t="shared" si="158"/>
        <v>3.19</v>
      </c>
      <c r="AY49" s="22">
        <f t="shared" si="158"/>
        <v>1408.06</v>
      </c>
      <c r="AZ49" s="22">
        <f t="shared" si="158"/>
        <v>29</v>
      </c>
      <c r="BA49" s="22">
        <f t="shared" si="158"/>
        <v>1437.06</v>
      </c>
      <c r="BB49" s="22">
        <f t="shared" si="158"/>
        <v>1597.6100000000001</v>
      </c>
      <c r="BC49" s="22">
        <f t="shared" si="158"/>
        <v>20.81</v>
      </c>
      <c r="BD49" s="22">
        <f t="shared" si="158"/>
        <v>-189.54999999999995</v>
      </c>
      <c r="BE49" s="22">
        <f t="shared" si="158"/>
        <v>8.1900000000000013</v>
      </c>
      <c r="BF49" s="22">
        <f t="shared" si="158"/>
        <v>319.52</v>
      </c>
      <c r="BG49" s="118">
        <f t="shared" si="158"/>
        <v>4.16</v>
      </c>
      <c r="BH49" s="118">
        <f t="shared" si="158"/>
        <v>217.84000000000003</v>
      </c>
      <c r="BI49" s="118">
        <f t="shared" si="158"/>
        <v>5.5</v>
      </c>
      <c r="BJ49" s="118">
        <f t="shared" si="158"/>
        <v>0</v>
      </c>
      <c r="BK49" s="118">
        <f t="shared" si="158"/>
        <v>0</v>
      </c>
      <c r="BL49" s="118">
        <f t="shared" si="158"/>
        <v>1625.9</v>
      </c>
      <c r="BM49" s="118">
        <f t="shared" si="158"/>
        <v>34.5</v>
      </c>
      <c r="BN49" s="118">
        <f t="shared" si="158"/>
        <v>1660.4</v>
      </c>
      <c r="BO49" s="118">
        <f t="shared" si="158"/>
        <v>1676.58</v>
      </c>
      <c r="BP49" s="118">
        <f t="shared" si="158"/>
        <v>21.42</v>
      </c>
      <c r="BQ49" s="22">
        <f t="shared" si="158"/>
        <v>-50.67999999999995</v>
      </c>
      <c r="BR49" s="22">
        <f t="shared" si="158"/>
        <v>13.079999999999998</v>
      </c>
      <c r="BS49" s="22">
        <f t="shared" si="158"/>
        <v>152.42000000000002</v>
      </c>
      <c r="BT49" s="22">
        <f t="shared" si="158"/>
        <v>1.95</v>
      </c>
      <c r="BU49" s="22">
        <f t="shared" si="158"/>
        <v>203.09999999999997</v>
      </c>
      <c r="BV49" s="22">
        <f t="shared" si="158"/>
        <v>0</v>
      </c>
      <c r="BW49" s="22">
        <f t="shared" si="158"/>
        <v>24.68</v>
      </c>
      <c r="BX49" s="22">
        <f t="shared" si="158"/>
        <v>0</v>
      </c>
      <c r="BY49" s="22">
        <f t="shared" si="158"/>
        <v>0</v>
      </c>
      <c r="BZ49" s="22">
        <f t="shared" si="158"/>
        <v>0</v>
      </c>
      <c r="CA49" s="22">
        <f t="shared" si="158"/>
        <v>1812</v>
      </c>
      <c r="CB49" s="22">
        <f t="shared" si="158"/>
        <v>34.5</v>
      </c>
      <c r="CC49" s="22">
        <f t="shared" si="158"/>
        <v>2039.05</v>
      </c>
      <c r="CD49" s="118">
        <f t="shared" si="158"/>
        <v>39.68</v>
      </c>
      <c r="CE49" s="190">
        <f t="shared" si="158"/>
        <v>170</v>
      </c>
      <c r="CF49" s="190">
        <f t="shared" si="158"/>
        <v>3</v>
      </c>
      <c r="CG49" s="190">
        <f t="shared" si="158"/>
        <v>453</v>
      </c>
      <c r="CH49" s="190">
        <f t="shared" si="158"/>
        <v>8.6300000000000008</v>
      </c>
      <c r="CI49" s="190">
        <f t="shared" si="158"/>
        <v>0</v>
      </c>
      <c r="CJ49" s="190">
        <f t="shared" si="158"/>
        <v>0</v>
      </c>
      <c r="CK49" s="190">
        <f t="shared" si="158"/>
        <v>470</v>
      </c>
      <c r="CL49" s="190">
        <f t="shared" si="158"/>
        <v>50</v>
      </c>
      <c r="CM49" s="190">
        <f t="shared" si="158"/>
        <v>0</v>
      </c>
      <c r="CN49" s="190">
        <f t="shared" si="158"/>
        <v>60</v>
      </c>
      <c r="CO49" s="190">
        <f t="shared" si="158"/>
        <v>2023.75</v>
      </c>
      <c r="CP49" s="190">
        <f t="shared" si="158"/>
        <v>200</v>
      </c>
      <c r="CQ49" s="190">
        <f t="shared" ref="CQ49:DP49" si="159">+CQ46+CQ47+CQ48</f>
        <v>1880</v>
      </c>
      <c r="CR49" s="190">
        <f t="shared" si="159"/>
        <v>200</v>
      </c>
      <c r="CS49" s="190">
        <f t="shared" si="159"/>
        <v>1755.75</v>
      </c>
      <c r="CT49" s="190">
        <f t="shared" si="159"/>
        <v>200</v>
      </c>
      <c r="CU49" s="190">
        <f t="shared" si="159"/>
        <v>1755.75</v>
      </c>
      <c r="CV49" s="190">
        <f t="shared" si="159"/>
        <v>300</v>
      </c>
      <c r="CW49" s="190">
        <f t="shared" si="159"/>
        <v>438.94</v>
      </c>
      <c r="CX49" s="190">
        <f t="shared" si="159"/>
        <v>60</v>
      </c>
      <c r="CY49" s="190">
        <f t="shared" si="159"/>
        <v>0</v>
      </c>
      <c r="CZ49" s="190">
        <f t="shared" si="159"/>
        <v>120</v>
      </c>
      <c r="DA49" s="190">
        <f t="shared" si="159"/>
        <v>1078.94</v>
      </c>
      <c r="DB49" s="190">
        <f t="shared" si="159"/>
        <v>293</v>
      </c>
      <c r="DC49" s="190">
        <f t="shared" si="159"/>
        <v>1062.3200000000002</v>
      </c>
      <c r="DD49" s="190">
        <f t="shared" si="159"/>
        <v>224.97</v>
      </c>
      <c r="DE49" s="190">
        <f t="shared" si="159"/>
        <v>16.620000000000005</v>
      </c>
      <c r="DF49" s="190">
        <f t="shared" si="159"/>
        <v>68.03</v>
      </c>
      <c r="DG49" s="190">
        <f t="shared" si="159"/>
        <v>438.94</v>
      </c>
      <c r="DH49" s="190">
        <f t="shared" si="159"/>
        <v>73.25</v>
      </c>
      <c r="DI49" s="190">
        <f t="shared" si="159"/>
        <v>422.32</v>
      </c>
      <c r="DJ49" s="190">
        <f t="shared" si="159"/>
        <v>0</v>
      </c>
      <c r="DK49" s="186">
        <f t="shared" si="159"/>
        <v>354.99999999999994</v>
      </c>
      <c r="DL49" s="22">
        <f t="shared" si="159"/>
        <v>0</v>
      </c>
      <c r="DM49" s="104">
        <f t="shared" si="2"/>
        <v>254.48999999999995</v>
      </c>
      <c r="DN49" s="104">
        <f t="shared" si="3"/>
        <v>7</v>
      </c>
      <c r="DO49" s="22">
        <f t="shared" si="159"/>
        <v>1856.26</v>
      </c>
      <c r="DP49" s="22">
        <f t="shared" si="159"/>
        <v>293</v>
      </c>
      <c r="DQ49" s="22">
        <f t="shared" ref="DQ49:DT49" si="160">+DQ46+DQ47+DQ48</f>
        <v>2487</v>
      </c>
      <c r="DR49" s="22">
        <f t="shared" si="160"/>
        <v>25</v>
      </c>
      <c r="DS49" s="22">
        <f t="shared" si="160"/>
        <v>0</v>
      </c>
      <c r="DT49" s="22">
        <f t="shared" si="160"/>
        <v>0</v>
      </c>
    </row>
    <row r="50" spans="1:126" ht="18.75">
      <c r="A50" s="13">
        <v>35</v>
      </c>
      <c r="B50" s="13"/>
      <c r="C50" s="14"/>
      <c r="D50" s="15" t="s">
        <v>74</v>
      </c>
      <c r="E50" s="16"/>
      <c r="F50" s="81">
        <v>855.07999999999993</v>
      </c>
      <c r="G50" s="81">
        <v>309.65999999999997</v>
      </c>
      <c r="H50" s="81">
        <v>855.07999999999993</v>
      </c>
      <c r="I50" s="17">
        <v>309.65999999999997</v>
      </c>
      <c r="J50" s="86">
        <v>890</v>
      </c>
      <c r="K50" s="87">
        <v>90</v>
      </c>
      <c r="L50" s="87">
        <v>0</v>
      </c>
      <c r="M50" s="87">
        <f>J50+K50+L50</f>
        <v>980</v>
      </c>
      <c r="N50" s="87">
        <v>0</v>
      </c>
      <c r="O50" s="87">
        <v>0</v>
      </c>
      <c r="P50" s="87">
        <v>0</v>
      </c>
      <c r="Q50" s="87">
        <f>N50+O50+P50</f>
        <v>0</v>
      </c>
      <c r="R50" s="87">
        <f t="shared" si="135"/>
        <v>980</v>
      </c>
      <c r="S50" s="87">
        <v>250</v>
      </c>
      <c r="V50" s="17">
        <f t="shared" ref="V50" si="161">ROUND(H50*1.0583,2)</f>
        <v>904.93</v>
      </c>
      <c r="W50" s="17">
        <f t="shared" ref="W50" si="162">ROUND(I50*1.0327,2)</f>
        <v>319.79000000000002</v>
      </c>
      <c r="X50" s="108">
        <f t="shared" si="4"/>
        <v>75.07000000000005</v>
      </c>
      <c r="Y50" s="109">
        <f t="shared" si="5"/>
        <v>-69.79000000000002</v>
      </c>
      <c r="Z50" s="116">
        <v>904.93</v>
      </c>
      <c r="AA50" s="116"/>
      <c r="AB50" s="116">
        <f t="shared" si="6"/>
        <v>904.93</v>
      </c>
      <c r="AC50" s="109">
        <f t="shared" si="7"/>
        <v>0</v>
      </c>
      <c r="AD50" s="108">
        <f t="shared" ref="AD50" si="163">IF(X50&gt;0,V50,R50)</f>
        <v>904.93</v>
      </c>
      <c r="AE50" s="108">
        <f t="shared" ref="AE50" si="164">IF(Y50&gt;0,W50,S50)</f>
        <v>250</v>
      </c>
      <c r="AF50" s="108">
        <f t="shared" si="8"/>
        <v>225.55</v>
      </c>
      <c r="AG50" s="108">
        <f t="shared" si="9"/>
        <v>226</v>
      </c>
      <c r="AH50" s="108">
        <f t="shared" si="46"/>
        <v>63</v>
      </c>
      <c r="AI50" s="127">
        <f t="shared" si="10"/>
        <v>75</v>
      </c>
      <c r="AJ50" s="108">
        <f t="shared" si="11"/>
        <v>21</v>
      </c>
      <c r="AM50" s="108">
        <f t="shared" si="12"/>
        <v>226.23</v>
      </c>
      <c r="AN50" s="108">
        <f t="shared" si="13"/>
        <v>60.88</v>
      </c>
      <c r="AQ50" s="108">
        <f t="shared" si="14"/>
        <v>452.23</v>
      </c>
      <c r="AR50" s="116">
        <f t="shared" si="15"/>
        <v>123.88</v>
      </c>
      <c r="AS50" s="116"/>
      <c r="AT50" s="116"/>
      <c r="AU50" s="138">
        <f>ROUND(AD50*25%,2)-49.54</f>
        <v>176.69</v>
      </c>
      <c r="AV50" s="116">
        <f>ROUND(AE50*25%,2)-17.45</f>
        <v>45.05</v>
      </c>
      <c r="AW50" s="116"/>
      <c r="AX50" s="116"/>
      <c r="AY50" s="116">
        <f t="shared" si="17"/>
        <v>703.92000000000007</v>
      </c>
      <c r="AZ50" s="108">
        <f t="shared" si="18"/>
        <v>189.93</v>
      </c>
      <c r="BA50" s="108">
        <f t="shared" si="19"/>
        <v>893.85000000000014</v>
      </c>
      <c r="BB50" s="139">
        <v>585.1</v>
      </c>
      <c r="BC50" s="139">
        <v>174.87</v>
      </c>
      <c r="BD50" s="139">
        <f t="shared" si="20"/>
        <v>118.82000000000005</v>
      </c>
      <c r="BE50" s="139">
        <f t="shared" si="21"/>
        <v>15.060000000000002</v>
      </c>
      <c r="BF50" s="139">
        <f t="shared" si="22"/>
        <v>117.02</v>
      </c>
      <c r="BG50" s="139">
        <f t="shared" si="23"/>
        <v>34.97</v>
      </c>
      <c r="BH50" s="143">
        <v>11.63</v>
      </c>
      <c r="BI50" s="143">
        <v>4.38</v>
      </c>
      <c r="BJ50" s="143"/>
      <c r="BK50" s="143"/>
      <c r="BL50" s="108">
        <f t="shared" si="1"/>
        <v>715.55000000000007</v>
      </c>
      <c r="BM50" s="108">
        <f t="shared" si="24"/>
        <v>194.31</v>
      </c>
      <c r="BN50" s="108">
        <f t="shared" si="25"/>
        <v>909.86000000000013</v>
      </c>
      <c r="BO50" s="108">
        <v>644.67999999999995</v>
      </c>
      <c r="BP50" s="127">
        <v>174.87</v>
      </c>
      <c r="BQ50" s="108">
        <f t="shared" si="26"/>
        <v>70.870000000000118</v>
      </c>
      <c r="BR50" s="108">
        <f t="shared" si="27"/>
        <v>19.439999999999998</v>
      </c>
      <c r="BS50" s="108">
        <f t="shared" si="28"/>
        <v>58.61</v>
      </c>
      <c r="BT50" s="108">
        <f t="shared" si="29"/>
        <v>15.9</v>
      </c>
      <c r="BU50" s="143">
        <v>11.62</v>
      </c>
      <c r="BV50" s="108">
        <v>0</v>
      </c>
      <c r="CA50" s="108">
        <v>727.17000000000007</v>
      </c>
      <c r="CB50" s="108">
        <v>194.31</v>
      </c>
      <c r="CC50">
        <v>799.89</v>
      </c>
      <c r="CD50">
        <v>223.46</v>
      </c>
      <c r="CE50" s="189">
        <v>67</v>
      </c>
      <c r="CF50" s="189">
        <v>19</v>
      </c>
      <c r="CG50" s="189">
        <f t="shared" si="31"/>
        <v>181.79</v>
      </c>
      <c r="CH50" s="189">
        <f t="shared" si="32"/>
        <v>48.58</v>
      </c>
      <c r="CI50" s="150"/>
      <c r="CJ50" s="150"/>
      <c r="CK50" s="150">
        <v>175</v>
      </c>
      <c r="CL50" s="150">
        <f>83.32-20</f>
        <v>63.319999999999993</v>
      </c>
      <c r="CM50" s="150"/>
      <c r="CN50" s="150">
        <v>21</v>
      </c>
      <c r="CO50" s="150">
        <v>741</v>
      </c>
      <c r="CP50" s="150">
        <v>150</v>
      </c>
      <c r="CQ50" s="150">
        <f t="shared" si="33"/>
        <v>700</v>
      </c>
      <c r="CR50" s="150">
        <f t="shared" si="34"/>
        <v>253.28</v>
      </c>
      <c r="CS50" s="150">
        <f t="shared" si="35"/>
        <v>700</v>
      </c>
      <c r="CT50" s="150">
        <f t="shared" si="36"/>
        <v>150</v>
      </c>
      <c r="CU50" s="150">
        <v>745</v>
      </c>
      <c r="CV50" s="150">
        <v>152</v>
      </c>
      <c r="CW50" s="150">
        <f t="shared" si="37"/>
        <v>186.25</v>
      </c>
      <c r="CX50" s="150">
        <f t="shared" si="38"/>
        <v>38</v>
      </c>
      <c r="CY50" s="150"/>
      <c r="CZ50" s="150"/>
      <c r="DA50" s="150">
        <f t="shared" si="39"/>
        <v>428.25</v>
      </c>
      <c r="DB50" s="150">
        <f t="shared" si="40"/>
        <v>141.32</v>
      </c>
      <c r="DC50" s="150">
        <v>407.87</v>
      </c>
      <c r="DD50" s="150">
        <v>102.52</v>
      </c>
      <c r="DE50" s="150">
        <f t="shared" si="41"/>
        <v>20.379999999999995</v>
      </c>
      <c r="DF50" s="150">
        <f t="shared" si="42"/>
        <v>38.799999999999997</v>
      </c>
      <c r="DG50" s="150">
        <f>ROUND(0.25*(MIN(CU50,DO50)),2)</f>
        <v>178.25</v>
      </c>
      <c r="DH50" s="150">
        <f>ROUND(0.25*(MIN(CV50,DP50)),2)</f>
        <v>38</v>
      </c>
      <c r="DI50" s="150">
        <f>+DG50-DE50</f>
        <v>157.87</v>
      </c>
      <c r="DJ50" s="150">
        <f>+DH50-DF50+0.8</f>
        <v>2.886579864025407E-15</v>
      </c>
      <c r="DK50" s="104">
        <f t="shared" ref="DK50:DK113" si="165">+DO50-DA50-DI50</f>
        <v>126.88</v>
      </c>
      <c r="DL50" s="104">
        <f t="shared" ref="DL50:DL113" si="166">+DP50-DB50-DJ50</f>
        <v>26.199999999999985</v>
      </c>
      <c r="DM50" s="104">
        <f t="shared" si="2"/>
        <v>158.88</v>
      </c>
      <c r="DN50" s="104">
        <f t="shared" si="3"/>
        <v>10.680000000000003</v>
      </c>
      <c r="DO50" s="104">
        <v>713</v>
      </c>
      <c r="DP50" s="104">
        <v>167.51999999999998</v>
      </c>
      <c r="DQ50" s="104">
        <v>820</v>
      </c>
      <c r="DR50" s="104">
        <v>70</v>
      </c>
    </row>
    <row r="51" spans="1:126" ht="18.75">
      <c r="A51" s="13">
        <v>36</v>
      </c>
      <c r="B51" s="13"/>
      <c r="C51" s="14"/>
      <c r="D51" s="15" t="s">
        <v>75</v>
      </c>
      <c r="E51" s="16"/>
      <c r="F51" s="81">
        <v>819.7299999999999</v>
      </c>
      <c r="G51" s="81">
        <v>0</v>
      </c>
      <c r="H51" s="81">
        <v>819.7299999999999</v>
      </c>
      <c r="I51" s="17">
        <v>0</v>
      </c>
      <c r="J51" s="86">
        <v>1103.0999999999999</v>
      </c>
      <c r="K51" s="87">
        <v>0</v>
      </c>
      <c r="L51" s="87">
        <v>0</v>
      </c>
      <c r="M51" s="87">
        <f>J51+K51+L51</f>
        <v>1103.0999999999999</v>
      </c>
      <c r="N51" s="87">
        <v>0</v>
      </c>
      <c r="O51" s="87">
        <v>0</v>
      </c>
      <c r="P51" s="87">
        <v>0</v>
      </c>
      <c r="Q51" s="87">
        <f>N51+O51+P51</f>
        <v>0</v>
      </c>
      <c r="R51" s="87">
        <f t="shared" si="135"/>
        <v>1103.0999999999999</v>
      </c>
      <c r="S51" s="87">
        <v>0</v>
      </c>
      <c r="V51" s="17">
        <f t="shared" ref="V51" si="167">ROUND(H51*1.0583,2)</f>
        <v>867.52</v>
      </c>
      <c r="W51" s="17">
        <f t="shared" ref="W51" si="168">ROUND(I51*1.0327,2)</f>
        <v>0</v>
      </c>
      <c r="X51" s="108">
        <f t="shared" si="4"/>
        <v>235.57999999999993</v>
      </c>
      <c r="Y51" s="108">
        <f t="shared" si="5"/>
        <v>0</v>
      </c>
      <c r="Z51" s="108">
        <v>867.52</v>
      </c>
      <c r="AA51" s="108"/>
      <c r="AB51" s="108">
        <f t="shared" si="6"/>
        <v>867.52</v>
      </c>
      <c r="AC51" s="109">
        <f t="shared" si="7"/>
        <v>0</v>
      </c>
      <c r="AD51" s="108">
        <f t="shared" ref="AD51" si="169">IF(X51&gt;0,V51,R51)</f>
        <v>867.52</v>
      </c>
      <c r="AE51" s="108">
        <f t="shared" ref="AE51" si="170">IF(Y51&gt;0,W51,S51)</f>
        <v>0</v>
      </c>
      <c r="AF51" s="108">
        <f t="shared" si="8"/>
        <v>0</v>
      </c>
      <c r="AG51" s="108">
        <f t="shared" si="9"/>
        <v>217</v>
      </c>
      <c r="AH51" s="108">
        <f t="shared" si="46"/>
        <v>0</v>
      </c>
      <c r="AI51" s="127">
        <f t="shared" si="10"/>
        <v>72</v>
      </c>
      <c r="AJ51" s="108">
        <f t="shared" si="11"/>
        <v>0</v>
      </c>
      <c r="AM51" s="108">
        <f t="shared" si="12"/>
        <v>216.88</v>
      </c>
      <c r="AN51" s="108">
        <f t="shared" si="13"/>
        <v>0</v>
      </c>
      <c r="AQ51" s="108">
        <f t="shared" si="14"/>
        <v>433.88</v>
      </c>
      <c r="AR51" s="116">
        <f t="shared" si="15"/>
        <v>0</v>
      </c>
      <c r="AS51" s="116"/>
      <c r="AT51" s="116"/>
      <c r="AU51" s="116">
        <f t="shared" si="0"/>
        <v>216.88</v>
      </c>
      <c r="AV51" s="116">
        <f>ROUND(AE51*25%,2)</f>
        <v>0</v>
      </c>
      <c r="AW51" s="116"/>
      <c r="AX51" s="116"/>
      <c r="AY51" s="116">
        <f t="shared" si="17"/>
        <v>722.76</v>
      </c>
      <c r="AZ51" s="108">
        <f t="shared" si="18"/>
        <v>0</v>
      </c>
      <c r="BA51" s="108">
        <f t="shared" si="19"/>
        <v>722.76</v>
      </c>
      <c r="BB51" s="139">
        <v>506.22</v>
      </c>
      <c r="BD51" s="139">
        <f t="shared" si="20"/>
        <v>216.53999999999996</v>
      </c>
      <c r="BE51" s="139">
        <f t="shared" si="21"/>
        <v>0</v>
      </c>
      <c r="BF51" s="139">
        <f t="shared" si="22"/>
        <v>101.24</v>
      </c>
      <c r="BG51" s="139">
        <f t="shared" si="23"/>
        <v>0</v>
      </c>
      <c r="BH51" s="143">
        <v>0</v>
      </c>
      <c r="BI51" s="143">
        <v>0</v>
      </c>
      <c r="BJ51" s="143"/>
      <c r="BK51" s="143"/>
      <c r="BL51" s="108">
        <f t="shared" si="1"/>
        <v>722.76</v>
      </c>
      <c r="BM51" s="108">
        <f t="shared" si="24"/>
        <v>0</v>
      </c>
      <c r="BN51" s="108">
        <f t="shared" si="25"/>
        <v>722.76</v>
      </c>
      <c r="BO51" s="108">
        <v>567.02</v>
      </c>
      <c r="BP51" s="127"/>
      <c r="BQ51" s="108">
        <f t="shared" si="26"/>
        <v>155.74</v>
      </c>
      <c r="BR51" s="108">
        <f t="shared" si="27"/>
        <v>0</v>
      </c>
      <c r="BS51" s="108">
        <f t="shared" si="28"/>
        <v>51.55</v>
      </c>
      <c r="BT51" s="108">
        <f t="shared" si="29"/>
        <v>0</v>
      </c>
      <c r="BU51" s="143">
        <v>0</v>
      </c>
      <c r="BV51" s="108">
        <f t="shared" si="128"/>
        <v>0</v>
      </c>
      <c r="CA51" s="108">
        <v>722.76</v>
      </c>
      <c r="CB51" s="108">
        <v>0</v>
      </c>
      <c r="CC51">
        <v>795.04</v>
      </c>
      <c r="CD51">
        <v>0</v>
      </c>
      <c r="CE51" s="189">
        <v>66</v>
      </c>
      <c r="CF51" s="189">
        <v>0</v>
      </c>
      <c r="CG51" s="189">
        <f t="shared" si="31"/>
        <v>180.69</v>
      </c>
      <c r="CH51" s="189">
        <f t="shared" si="32"/>
        <v>0</v>
      </c>
      <c r="CI51" s="150"/>
      <c r="CJ51" s="150"/>
      <c r="CK51" s="150">
        <f>210-50</f>
        <v>160</v>
      </c>
      <c r="CL51" s="150"/>
      <c r="CM51" s="150"/>
      <c r="CN51" s="150"/>
      <c r="CO51" s="150">
        <v>950</v>
      </c>
      <c r="CP51" s="150"/>
      <c r="CQ51" s="150">
        <f t="shared" si="33"/>
        <v>640</v>
      </c>
      <c r="CR51" s="150">
        <f t="shared" si="34"/>
        <v>0</v>
      </c>
      <c r="CS51" s="150">
        <f t="shared" si="35"/>
        <v>640</v>
      </c>
      <c r="CT51" s="150">
        <f t="shared" si="36"/>
        <v>0</v>
      </c>
      <c r="CU51" s="150">
        <v>950</v>
      </c>
      <c r="CV51" s="150">
        <v>0</v>
      </c>
      <c r="CW51" s="150">
        <f t="shared" si="37"/>
        <v>237.5</v>
      </c>
      <c r="CX51" s="150">
        <f t="shared" si="38"/>
        <v>0</v>
      </c>
      <c r="CY51" s="150"/>
      <c r="CZ51" s="150"/>
      <c r="DA51" s="150">
        <f t="shared" si="39"/>
        <v>463.5</v>
      </c>
      <c r="DB51" s="150">
        <f t="shared" si="40"/>
        <v>0</v>
      </c>
      <c r="DC51" s="150">
        <v>335.57</v>
      </c>
      <c r="DD51" s="150">
        <v>0</v>
      </c>
      <c r="DE51" s="150">
        <f t="shared" si="41"/>
        <v>127.93</v>
      </c>
      <c r="DF51" s="150">
        <f t="shared" si="42"/>
        <v>0</v>
      </c>
      <c r="DG51" s="150">
        <f>ROUND(0.25*(MIN(CU51,DO51)),2)</f>
        <v>207.21</v>
      </c>
      <c r="DH51" s="150">
        <f>ROUND(0.25*(MIN(CV51,DP51)),2)</f>
        <v>0</v>
      </c>
      <c r="DI51" s="150">
        <f>+DG51-DE51</f>
        <v>79.28</v>
      </c>
      <c r="DJ51" s="150">
        <f>+DH51-DF51</f>
        <v>0</v>
      </c>
      <c r="DK51" s="104">
        <f t="shared" si="165"/>
        <v>286.04999999999995</v>
      </c>
      <c r="DL51" s="104">
        <f t="shared" si="166"/>
        <v>0</v>
      </c>
      <c r="DM51" s="104">
        <f t="shared" si="2"/>
        <v>407.22</v>
      </c>
      <c r="DN51" s="104">
        <f t="shared" si="3"/>
        <v>0</v>
      </c>
      <c r="DO51" s="104">
        <v>828.82999999999993</v>
      </c>
      <c r="DP51" s="104">
        <v>0</v>
      </c>
      <c r="DQ51" s="104">
        <v>1045</v>
      </c>
      <c r="DR51" s="104">
        <v>0</v>
      </c>
    </row>
    <row r="52" spans="1:126" ht="18.75">
      <c r="A52" s="18"/>
      <c r="B52" s="18" t="s">
        <v>76</v>
      </c>
      <c r="C52" s="19" t="s">
        <v>77</v>
      </c>
      <c r="D52" s="20" t="s">
        <v>74</v>
      </c>
      <c r="E52" s="21" t="s">
        <v>78</v>
      </c>
      <c r="F52" s="22">
        <v>1674.81</v>
      </c>
      <c r="G52" s="22">
        <v>309.65999999999997</v>
      </c>
      <c r="H52" s="22">
        <v>1674.81</v>
      </c>
      <c r="I52" s="22">
        <v>309.65999999999997</v>
      </c>
      <c r="J52" s="88">
        <f t="shared" ref="J52:AA52" si="171">+J50+J51</f>
        <v>1993.1</v>
      </c>
      <c r="K52" s="88">
        <f t="shared" si="171"/>
        <v>90</v>
      </c>
      <c r="L52" s="88">
        <f t="shared" si="171"/>
        <v>0</v>
      </c>
      <c r="M52" s="88">
        <f t="shared" si="171"/>
        <v>2083.1</v>
      </c>
      <c r="N52" s="88">
        <f t="shared" si="171"/>
        <v>0</v>
      </c>
      <c r="O52" s="88">
        <f t="shared" si="171"/>
        <v>0</v>
      </c>
      <c r="P52" s="88">
        <f t="shared" si="171"/>
        <v>0</v>
      </c>
      <c r="Q52" s="88">
        <f t="shared" si="171"/>
        <v>0</v>
      </c>
      <c r="R52" s="88">
        <f t="shared" si="171"/>
        <v>2083.1</v>
      </c>
      <c r="S52" s="88">
        <f t="shared" si="171"/>
        <v>250</v>
      </c>
      <c r="T52" s="88">
        <f t="shared" si="171"/>
        <v>0</v>
      </c>
      <c r="U52" s="88">
        <f t="shared" si="171"/>
        <v>0</v>
      </c>
      <c r="V52" s="88">
        <f t="shared" si="171"/>
        <v>1772.4499999999998</v>
      </c>
      <c r="W52" s="88">
        <f t="shared" si="171"/>
        <v>319.79000000000002</v>
      </c>
      <c r="X52" s="88">
        <f t="shared" si="171"/>
        <v>310.64999999999998</v>
      </c>
      <c r="Y52" s="88">
        <f t="shared" si="171"/>
        <v>-69.79000000000002</v>
      </c>
      <c r="Z52" s="88">
        <f t="shared" si="171"/>
        <v>1772.4499999999998</v>
      </c>
      <c r="AA52" s="88">
        <f t="shared" si="171"/>
        <v>0</v>
      </c>
      <c r="AB52" s="22">
        <f t="shared" si="6"/>
        <v>1772.4499999999998</v>
      </c>
      <c r="AC52" s="109">
        <f t="shared" si="7"/>
        <v>0</v>
      </c>
      <c r="AD52" s="22">
        <f t="shared" ref="AD52:CP52" si="172">+AD50+AD51</f>
        <v>1772.4499999999998</v>
      </c>
      <c r="AE52" s="22">
        <f t="shared" si="172"/>
        <v>250</v>
      </c>
      <c r="AF52" s="22">
        <f t="shared" si="172"/>
        <v>225.55</v>
      </c>
      <c r="AG52" s="22">
        <f t="shared" si="172"/>
        <v>443</v>
      </c>
      <c r="AH52" s="22">
        <f t="shared" si="172"/>
        <v>63</v>
      </c>
      <c r="AI52" s="118">
        <f t="shared" si="172"/>
        <v>147</v>
      </c>
      <c r="AJ52" s="22">
        <f t="shared" si="172"/>
        <v>21</v>
      </c>
      <c r="AK52" s="22">
        <f t="shared" si="172"/>
        <v>0</v>
      </c>
      <c r="AL52" s="22">
        <f t="shared" si="172"/>
        <v>0</v>
      </c>
      <c r="AM52" s="22">
        <f t="shared" si="172"/>
        <v>443.11</v>
      </c>
      <c r="AN52" s="22">
        <f t="shared" si="172"/>
        <v>60.88</v>
      </c>
      <c r="AO52" s="22">
        <f t="shared" si="172"/>
        <v>0</v>
      </c>
      <c r="AP52" s="22">
        <f t="shared" si="172"/>
        <v>0</v>
      </c>
      <c r="AQ52" s="22">
        <f t="shared" si="172"/>
        <v>886.11</v>
      </c>
      <c r="AR52" s="22">
        <f t="shared" si="172"/>
        <v>123.88</v>
      </c>
      <c r="AS52" s="22">
        <f t="shared" si="172"/>
        <v>0</v>
      </c>
      <c r="AT52" s="22">
        <f t="shared" si="172"/>
        <v>0</v>
      </c>
      <c r="AU52" s="22">
        <f t="shared" si="172"/>
        <v>393.57</v>
      </c>
      <c r="AV52" s="22">
        <f t="shared" si="172"/>
        <v>45.05</v>
      </c>
      <c r="AW52" s="22">
        <f t="shared" si="172"/>
        <v>0</v>
      </c>
      <c r="AX52" s="22">
        <f t="shared" si="172"/>
        <v>0</v>
      </c>
      <c r="AY52" s="22">
        <f t="shared" si="172"/>
        <v>1426.68</v>
      </c>
      <c r="AZ52" s="22">
        <f t="shared" si="172"/>
        <v>189.93</v>
      </c>
      <c r="BA52" s="22">
        <f t="shared" si="172"/>
        <v>1616.6100000000001</v>
      </c>
      <c r="BB52" s="22">
        <f t="shared" si="172"/>
        <v>1091.3200000000002</v>
      </c>
      <c r="BC52" s="22">
        <f t="shared" si="172"/>
        <v>174.87</v>
      </c>
      <c r="BD52" s="22">
        <f t="shared" si="172"/>
        <v>335.36</v>
      </c>
      <c r="BE52" s="22">
        <f t="shared" si="172"/>
        <v>15.060000000000002</v>
      </c>
      <c r="BF52" s="22">
        <f t="shared" si="172"/>
        <v>218.26</v>
      </c>
      <c r="BG52" s="118">
        <f t="shared" si="172"/>
        <v>34.97</v>
      </c>
      <c r="BH52" s="118">
        <f t="shared" si="172"/>
        <v>11.63</v>
      </c>
      <c r="BI52" s="118">
        <f t="shared" si="172"/>
        <v>4.38</v>
      </c>
      <c r="BJ52" s="118">
        <f t="shared" si="172"/>
        <v>0</v>
      </c>
      <c r="BK52" s="118">
        <f t="shared" si="172"/>
        <v>0</v>
      </c>
      <c r="BL52" s="118">
        <f t="shared" si="172"/>
        <v>1438.31</v>
      </c>
      <c r="BM52" s="118">
        <f t="shared" si="172"/>
        <v>194.31</v>
      </c>
      <c r="BN52" s="118">
        <f t="shared" si="172"/>
        <v>1632.6200000000001</v>
      </c>
      <c r="BO52" s="118">
        <f t="shared" si="172"/>
        <v>1211.6999999999998</v>
      </c>
      <c r="BP52" s="118">
        <f t="shared" si="172"/>
        <v>174.87</v>
      </c>
      <c r="BQ52" s="22">
        <f t="shared" si="172"/>
        <v>226.61000000000013</v>
      </c>
      <c r="BR52" s="22">
        <f t="shared" si="172"/>
        <v>19.439999999999998</v>
      </c>
      <c r="BS52" s="22">
        <f t="shared" si="172"/>
        <v>110.16</v>
      </c>
      <c r="BT52" s="22">
        <f t="shared" si="172"/>
        <v>15.9</v>
      </c>
      <c r="BU52" s="22">
        <f t="shared" si="172"/>
        <v>11.62</v>
      </c>
      <c r="BV52" s="22">
        <f t="shared" si="172"/>
        <v>0</v>
      </c>
      <c r="BW52" s="22">
        <f t="shared" si="172"/>
        <v>0</v>
      </c>
      <c r="BX52" s="22">
        <f t="shared" si="172"/>
        <v>0</v>
      </c>
      <c r="BY52" s="22">
        <f t="shared" si="172"/>
        <v>0</v>
      </c>
      <c r="BZ52" s="22">
        <f t="shared" si="172"/>
        <v>0</v>
      </c>
      <c r="CA52" s="22">
        <f t="shared" si="172"/>
        <v>1449.93</v>
      </c>
      <c r="CB52" s="22">
        <f t="shared" si="172"/>
        <v>194.31</v>
      </c>
      <c r="CC52" s="22">
        <f t="shared" si="172"/>
        <v>1594.9299999999998</v>
      </c>
      <c r="CD52" s="118">
        <f t="shared" si="172"/>
        <v>223.46</v>
      </c>
      <c r="CE52" s="190">
        <f t="shared" si="172"/>
        <v>133</v>
      </c>
      <c r="CF52" s="190">
        <f t="shared" si="172"/>
        <v>19</v>
      </c>
      <c r="CG52" s="190">
        <f t="shared" si="172"/>
        <v>362.48</v>
      </c>
      <c r="CH52" s="190">
        <f t="shared" si="172"/>
        <v>48.58</v>
      </c>
      <c r="CI52" s="190">
        <f t="shared" si="172"/>
        <v>0</v>
      </c>
      <c r="CJ52" s="190">
        <f t="shared" si="172"/>
        <v>0</v>
      </c>
      <c r="CK52" s="190">
        <f t="shared" si="172"/>
        <v>335</v>
      </c>
      <c r="CL52" s="190">
        <f t="shared" si="172"/>
        <v>63.319999999999993</v>
      </c>
      <c r="CM52" s="190">
        <f t="shared" si="172"/>
        <v>0</v>
      </c>
      <c r="CN52" s="190">
        <f t="shared" si="172"/>
        <v>21</v>
      </c>
      <c r="CO52" s="190">
        <f t="shared" si="172"/>
        <v>1691</v>
      </c>
      <c r="CP52" s="190">
        <f t="shared" si="172"/>
        <v>150</v>
      </c>
      <c r="CQ52" s="190">
        <f t="shared" ref="CQ52:DP52" si="173">+CQ50+CQ51</f>
        <v>1340</v>
      </c>
      <c r="CR52" s="190">
        <f t="shared" si="173"/>
        <v>253.28</v>
      </c>
      <c r="CS52" s="190">
        <f t="shared" si="173"/>
        <v>1340</v>
      </c>
      <c r="CT52" s="190">
        <f t="shared" si="173"/>
        <v>150</v>
      </c>
      <c r="CU52" s="190">
        <f t="shared" si="173"/>
        <v>1695</v>
      </c>
      <c r="CV52" s="190">
        <f t="shared" si="173"/>
        <v>152</v>
      </c>
      <c r="CW52" s="190">
        <f t="shared" si="173"/>
        <v>423.75</v>
      </c>
      <c r="CX52" s="190">
        <f t="shared" si="173"/>
        <v>38</v>
      </c>
      <c r="CY52" s="190">
        <f t="shared" si="173"/>
        <v>0</v>
      </c>
      <c r="CZ52" s="190">
        <f t="shared" si="173"/>
        <v>0</v>
      </c>
      <c r="DA52" s="190">
        <f t="shared" si="173"/>
        <v>891.75</v>
      </c>
      <c r="DB52" s="190">
        <f t="shared" si="173"/>
        <v>141.32</v>
      </c>
      <c r="DC52" s="190">
        <f t="shared" si="173"/>
        <v>743.44</v>
      </c>
      <c r="DD52" s="190">
        <f t="shared" si="173"/>
        <v>102.52</v>
      </c>
      <c r="DE52" s="190">
        <f t="shared" si="173"/>
        <v>148.31</v>
      </c>
      <c r="DF52" s="190">
        <f t="shared" si="173"/>
        <v>38.799999999999997</v>
      </c>
      <c r="DG52" s="190">
        <f t="shared" si="173"/>
        <v>385.46000000000004</v>
      </c>
      <c r="DH52" s="190">
        <f t="shared" si="173"/>
        <v>38</v>
      </c>
      <c r="DI52" s="190">
        <f t="shared" si="173"/>
        <v>237.15</v>
      </c>
      <c r="DJ52" s="190">
        <f>+DJ50+DJ51</f>
        <v>2.886579864025407E-15</v>
      </c>
      <c r="DK52" s="104">
        <f t="shared" si="165"/>
        <v>412.92999999999995</v>
      </c>
      <c r="DL52" s="104">
        <f t="shared" si="166"/>
        <v>26.199999999999985</v>
      </c>
      <c r="DM52" s="104">
        <f t="shared" si="2"/>
        <v>566.1</v>
      </c>
      <c r="DN52" s="104">
        <f t="shared" si="3"/>
        <v>10.680000000000003</v>
      </c>
      <c r="DO52" s="22">
        <f t="shared" si="173"/>
        <v>1541.83</v>
      </c>
      <c r="DP52" s="22">
        <f t="shared" si="173"/>
        <v>167.51999999999998</v>
      </c>
      <c r="DQ52" s="22">
        <f t="shared" ref="DQ52:DU52" si="174">+DQ50+DQ51</f>
        <v>1865</v>
      </c>
      <c r="DR52" s="22">
        <f t="shared" si="174"/>
        <v>70</v>
      </c>
      <c r="DS52" s="22">
        <f t="shared" si="174"/>
        <v>0</v>
      </c>
      <c r="DT52" s="22">
        <f t="shared" si="174"/>
        <v>0</v>
      </c>
      <c r="DU52" s="22">
        <f t="shared" si="174"/>
        <v>0</v>
      </c>
    </row>
    <row r="53" spans="1:126" ht="18.75">
      <c r="A53" s="13">
        <v>37</v>
      </c>
      <c r="B53" s="13"/>
      <c r="C53" s="14"/>
      <c r="D53" s="146" t="s">
        <v>557</v>
      </c>
      <c r="E53" s="16"/>
      <c r="F53" s="81">
        <v>971.93000000000006</v>
      </c>
      <c r="G53" s="81">
        <v>120.08999999999999</v>
      </c>
      <c r="H53" s="81">
        <v>960</v>
      </c>
      <c r="I53" s="17">
        <v>98.569999999999979</v>
      </c>
      <c r="J53" s="86">
        <v>1090</v>
      </c>
      <c r="K53" s="87">
        <v>0</v>
      </c>
      <c r="L53" s="87">
        <v>0</v>
      </c>
      <c r="M53" s="87">
        <f>J53+K53+L53</f>
        <v>1090</v>
      </c>
      <c r="N53" s="87">
        <v>0</v>
      </c>
      <c r="O53" s="87">
        <v>0</v>
      </c>
      <c r="P53" s="87">
        <v>0</v>
      </c>
      <c r="Q53" s="87">
        <f>N53+O53+P53</f>
        <v>0</v>
      </c>
      <c r="R53" s="87">
        <f t="shared" si="135"/>
        <v>1090</v>
      </c>
      <c r="S53" s="87">
        <v>113</v>
      </c>
      <c r="V53" s="17">
        <f t="shared" ref="V53" si="175">ROUND(H53*1.0583,2)</f>
        <v>1015.97</v>
      </c>
      <c r="W53" s="17">
        <f t="shared" ref="W53" si="176">ROUND(I53*1.0327,2)</f>
        <v>101.79</v>
      </c>
      <c r="X53" s="108">
        <f t="shared" si="4"/>
        <v>74.029999999999973</v>
      </c>
      <c r="Y53" s="108">
        <f t="shared" si="5"/>
        <v>11.209999999999994</v>
      </c>
      <c r="Z53" s="108">
        <v>1015.97</v>
      </c>
      <c r="AA53" s="108"/>
      <c r="AB53" s="108">
        <f t="shared" si="6"/>
        <v>1015.97</v>
      </c>
      <c r="AC53" s="109">
        <f t="shared" si="7"/>
        <v>0</v>
      </c>
      <c r="AD53" s="108">
        <f t="shared" ref="AD53" si="177">IF(X53&gt;0,V53,R53)</f>
        <v>1015.97</v>
      </c>
      <c r="AE53" s="108">
        <f t="shared" ref="AE53" si="178">IF(Y53&gt;0,W53,S53)</f>
        <v>101.79</v>
      </c>
      <c r="AF53" s="108">
        <f t="shared" si="8"/>
        <v>101.95</v>
      </c>
      <c r="AG53" s="108">
        <f t="shared" si="9"/>
        <v>254</v>
      </c>
      <c r="AH53" s="108">
        <f t="shared" si="46"/>
        <v>25</v>
      </c>
      <c r="AI53" s="127">
        <f t="shared" si="10"/>
        <v>85</v>
      </c>
      <c r="AJ53" s="108">
        <f t="shared" si="11"/>
        <v>8</v>
      </c>
      <c r="AM53" s="108">
        <f t="shared" si="12"/>
        <v>253.99</v>
      </c>
      <c r="AN53" s="108">
        <f t="shared" si="13"/>
        <v>24.79</v>
      </c>
      <c r="AQ53" s="108">
        <f t="shared" si="14"/>
        <v>507.99</v>
      </c>
      <c r="AR53" s="116">
        <f t="shared" si="15"/>
        <v>49.79</v>
      </c>
      <c r="AS53" s="143">
        <v>60</v>
      </c>
      <c r="AT53" s="116"/>
      <c r="AU53" s="116">
        <f t="shared" si="0"/>
        <v>253.99</v>
      </c>
      <c r="AV53" s="116">
        <f>ROUND(AE53*25%,2)-25.45</f>
        <v>0</v>
      </c>
      <c r="AW53" s="143">
        <v>40</v>
      </c>
      <c r="AY53" s="108">
        <f t="shared" si="17"/>
        <v>946.98</v>
      </c>
      <c r="AZ53" s="108">
        <f t="shared" si="18"/>
        <v>57.79</v>
      </c>
      <c r="BA53" s="108">
        <f t="shared" si="19"/>
        <v>1004.77</v>
      </c>
      <c r="BB53" s="139">
        <v>938.96</v>
      </c>
      <c r="BC53" s="139">
        <v>57.7</v>
      </c>
      <c r="BD53" s="139">
        <f t="shared" si="20"/>
        <v>8.0199999999999818</v>
      </c>
      <c r="BE53" s="139">
        <f t="shared" si="21"/>
        <v>8.9999999999996305E-2</v>
      </c>
      <c r="BF53" s="139">
        <f t="shared" si="22"/>
        <v>187.79</v>
      </c>
      <c r="BG53" s="139">
        <f t="shared" si="23"/>
        <v>11.54</v>
      </c>
      <c r="BH53" s="109">
        <v>63.86</v>
      </c>
      <c r="BI53" s="109">
        <v>0</v>
      </c>
      <c r="BJ53" s="109">
        <v>30</v>
      </c>
      <c r="BK53" s="109">
        <v>5</v>
      </c>
      <c r="BL53" s="108">
        <f t="shared" si="1"/>
        <v>1040.8400000000001</v>
      </c>
      <c r="BM53" s="108">
        <f t="shared" si="24"/>
        <v>62.79</v>
      </c>
      <c r="BN53" s="108">
        <f t="shared" si="25"/>
        <v>1103.6300000000001</v>
      </c>
      <c r="BO53" s="108">
        <v>1036.83</v>
      </c>
      <c r="BP53" s="127">
        <v>57.7</v>
      </c>
      <c r="BQ53" s="108">
        <f t="shared" si="26"/>
        <v>4.0100000000002183</v>
      </c>
      <c r="BR53" s="108">
        <f t="shared" si="27"/>
        <v>5.0899999999999963</v>
      </c>
      <c r="BS53" s="108">
        <f t="shared" si="28"/>
        <v>94.26</v>
      </c>
      <c r="BT53" s="108">
        <f t="shared" si="29"/>
        <v>5.25</v>
      </c>
      <c r="BU53" s="108">
        <f>ROUND(BS53-BQ53,2)</f>
        <v>90.25</v>
      </c>
      <c r="BV53" s="108">
        <v>0</v>
      </c>
      <c r="BW53" s="109">
        <v>5</v>
      </c>
      <c r="CA53" s="108">
        <v>1136.0900000000001</v>
      </c>
      <c r="CB53" s="108">
        <v>62.79</v>
      </c>
      <c r="CC53">
        <v>1249.7</v>
      </c>
      <c r="CD53">
        <v>72.209999999999994</v>
      </c>
      <c r="CE53" s="189">
        <v>104</v>
      </c>
      <c r="CF53" s="189">
        <v>6</v>
      </c>
      <c r="CG53" s="189">
        <f t="shared" si="31"/>
        <v>284.02</v>
      </c>
      <c r="CH53" s="189">
        <f t="shared" si="32"/>
        <v>15.7</v>
      </c>
      <c r="CI53" s="150"/>
      <c r="CJ53" s="150"/>
      <c r="CK53" s="150">
        <v>315</v>
      </c>
      <c r="CL53" s="150">
        <v>0</v>
      </c>
      <c r="CM53" s="150"/>
      <c r="CN53" s="150"/>
      <c r="CO53" s="150">
        <v>1339</v>
      </c>
      <c r="CP53" s="150">
        <v>105</v>
      </c>
      <c r="CQ53" s="150">
        <f t="shared" si="33"/>
        <v>1260</v>
      </c>
      <c r="CR53" s="150">
        <f t="shared" si="34"/>
        <v>0</v>
      </c>
      <c r="CS53" s="150">
        <f t="shared" si="35"/>
        <v>1260</v>
      </c>
      <c r="CT53" s="150">
        <f>IF(CP53&lt;CR53,CP53,CR53)+105</f>
        <v>105</v>
      </c>
      <c r="CU53" s="150">
        <f t="shared" ref="CU53:CU55" si="179">IF(CQ53&lt;CS53,CQ53,CS53)</f>
        <v>1260</v>
      </c>
      <c r="CV53" s="150">
        <f>2.25+105</f>
        <v>107.25</v>
      </c>
      <c r="CW53" s="150">
        <v>315</v>
      </c>
      <c r="CX53" s="150">
        <v>26.25</v>
      </c>
      <c r="CY53" s="150"/>
      <c r="CZ53" s="150">
        <v>75</v>
      </c>
      <c r="DA53" s="150">
        <v>734</v>
      </c>
      <c r="DB53" s="150">
        <v>107.25</v>
      </c>
      <c r="DC53" s="150">
        <v>710.98</v>
      </c>
      <c r="DD53" s="150">
        <v>103.19</v>
      </c>
      <c r="DE53" s="150">
        <v>23.019999999999982</v>
      </c>
      <c r="DF53" s="150">
        <v>4.0600000000000023</v>
      </c>
      <c r="DG53" s="150">
        <v>315</v>
      </c>
      <c r="DH53" s="150">
        <v>26.25</v>
      </c>
      <c r="DI53" s="150">
        <v>291.98</v>
      </c>
      <c r="DJ53" s="150">
        <v>0</v>
      </c>
      <c r="DK53" s="104">
        <f t="shared" si="165"/>
        <v>234.01999999999998</v>
      </c>
      <c r="DL53" s="104">
        <f t="shared" si="166"/>
        <v>12.75</v>
      </c>
      <c r="DM53" s="104">
        <f t="shared" si="2"/>
        <v>234.01999999999998</v>
      </c>
      <c r="DN53" s="104">
        <f t="shared" si="3"/>
        <v>0</v>
      </c>
      <c r="DO53" s="104">
        <v>1260</v>
      </c>
      <c r="DP53" s="104">
        <v>120</v>
      </c>
      <c r="DQ53" s="104">
        <v>0</v>
      </c>
      <c r="DR53" s="104">
        <v>0</v>
      </c>
    </row>
    <row r="54" spans="1:126" ht="31.5">
      <c r="A54" s="13">
        <v>38</v>
      </c>
      <c r="B54" s="13"/>
      <c r="C54" s="14"/>
      <c r="D54" s="145" t="s">
        <v>558</v>
      </c>
      <c r="E54" s="16"/>
      <c r="F54" s="81">
        <v>0</v>
      </c>
      <c r="G54" s="81">
        <v>0</v>
      </c>
      <c r="H54" s="81">
        <v>0</v>
      </c>
      <c r="I54" s="17">
        <v>0</v>
      </c>
      <c r="J54" s="86">
        <v>0</v>
      </c>
      <c r="K54" s="87">
        <v>0</v>
      </c>
      <c r="L54" s="87">
        <v>0</v>
      </c>
      <c r="M54" s="87">
        <f>J54+K54+L54</f>
        <v>0</v>
      </c>
      <c r="N54" s="87">
        <v>0</v>
      </c>
      <c r="O54" s="87">
        <v>0</v>
      </c>
      <c r="P54" s="87">
        <v>0</v>
      </c>
      <c r="Q54" s="87">
        <f>N54+O54+P54</f>
        <v>0</v>
      </c>
      <c r="R54" s="87">
        <f t="shared" si="135"/>
        <v>0</v>
      </c>
      <c r="S54" s="87">
        <v>0</v>
      </c>
      <c r="V54" s="17">
        <f t="shared" ref="V54" si="180">ROUND(H54*1.0583,2)</f>
        <v>0</v>
      </c>
      <c r="W54" s="17">
        <f t="shared" ref="W54" si="181">ROUND(I54*1.0327,2)</f>
        <v>0</v>
      </c>
      <c r="X54" s="108">
        <f t="shared" si="4"/>
        <v>0</v>
      </c>
      <c r="Y54" s="108">
        <f t="shared" si="5"/>
        <v>0</v>
      </c>
      <c r="Z54" s="108">
        <v>0</v>
      </c>
      <c r="AA54" s="108"/>
      <c r="AB54" s="108">
        <f t="shared" si="6"/>
        <v>0</v>
      </c>
      <c r="AC54" s="109">
        <f t="shared" si="7"/>
        <v>0</v>
      </c>
      <c r="AD54" s="108">
        <f t="shared" ref="AD54" si="182">IF(X54&gt;0,V54,R54)</f>
        <v>0</v>
      </c>
      <c r="AE54" s="108">
        <f t="shared" ref="AE54" si="183">IF(Y54&gt;0,W54,S54)</f>
        <v>0</v>
      </c>
      <c r="AF54" s="108">
        <f t="shared" si="8"/>
        <v>0</v>
      </c>
      <c r="AG54" s="108">
        <f t="shared" si="9"/>
        <v>0</v>
      </c>
      <c r="AH54" s="108">
        <f t="shared" si="46"/>
        <v>0</v>
      </c>
      <c r="AI54" s="127">
        <f t="shared" si="10"/>
        <v>0</v>
      </c>
      <c r="AJ54" s="108">
        <f t="shared" si="11"/>
        <v>0</v>
      </c>
      <c r="AM54" s="108">
        <f t="shared" si="12"/>
        <v>0</v>
      </c>
      <c r="AN54" s="108">
        <f t="shared" si="13"/>
        <v>0</v>
      </c>
      <c r="AQ54" s="108">
        <f t="shared" si="14"/>
        <v>0</v>
      </c>
      <c r="AR54" s="108">
        <f t="shared" si="15"/>
        <v>0</v>
      </c>
      <c r="AU54" s="108">
        <f t="shared" si="0"/>
        <v>0</v>
      </c>
      <c r="AV54" s="108">
        <f t="shared" ref="AV54:AV112" si="184">ROUND(AE54*25%,2)</f>
        <v>0</v>
      </c>
      <c r="AY54" s="108">
        <f t="shared" si="17"/>
        <v>0</v>
      </c>
      <c r="AZ54" s="108">
        <f t="shared" si="18"/>
        <v>0</v>
      </c>
      <c r="BA54" s="108">
        <f t="shared" si="19"/>
        <v>0</v>
      </c>
      <c r="BB54" s="139">
        <v>0</v>
      </c>
      <c r="BD54" s="139">
        <f t="shared" si="20"/>
        <v>0</v>
      </c>
      <c r="BE54" s="139">
        <f t="shared" si="21"/>
        <v>0</v>
      </c>
      <c r="BF54" s="139">
        <f t="shared" si="22"/>
        <v>0</v>
      </c>
      <c r="BG54" s="139">
        <f t="shared" si="23"/>
        <v>0</v>
      </c>
      <c r="BH54" s="108">
        <v>0</v>
      </c>
      <c r="BI54" s="108">
        <v>0</v>
      </c>
      <c r="BL54" s="108">
        <f t="shared" si="1"/>
        <v>0</v>
      </c>
      <c r="BM54" s="108">
        <f t="shared" si="24"/>
        <v>0</v>
      </c>
      <c r="BN54" s="108">
        <f t="shared" si="25"/>
        <v>0</v>
      </c>
      <c r="BP54" s="127"/>
      <c r="BQ54" s="108">
        <f t="shared" si="26"/>
        <v>0</v>
      </c>
      <c r="BR54" s="108">
        <f t="shared" si="27"/>
        <v>0</v>
      </c>
      <c r="BS54" s="108">
        <f t="shared" si="28"/>
        <v>0</v>
      </c>
      <c r="BT54" s="108">
        <f t="shared" si="29"/>
        <v>0</v>
      </c>
      <c r="BU54" s="108">
        <f t="shared" ref="BU54:BU55" si="185">ROUND(BS54-BQ54,2)</f>
        <v>0</v>
      </c>
      <c r="BV54" s="108">
        <f t="shared" si="128"/>
        <v>0</v>
      </c>
      <c r="CA54" s="108">
        <v>0</v>
      </c>
      <c r="CB54" s="108">
        <v>0</v>
      </c>
      <c r="CC54">
        <v>0</v>
      </c>
      <c r="CD54">
        <v>0</v>
      </c>
      <c r="CE54" s="189">
        <v>0</v>
      </c>
      <c r="CF54" s="189">
        <v>0</v>
      </c>
      <c r="CG54" s="189">
        <f t="shared" si="31"/>
        <v>0</v>
      </c>
      <c r="CH54" s="189">
        <f t="shared" si="32"/>
        <v>0</v>
      </c>
      <c r="CI54" s="150"/>
      <c r="CJ54" s="150"/>
      <c r="CK54" s="150">
        <v>0</v>
      </c>
      <c r="CL54" s="150">
        <v>0</v>
      </c>
      <c r="CM54" s="150"/>
      <c r="CN54" s="150"/>
      <c r="CO54" s="150">
        <v>0</v>
      </c>
      <c r="CP54" s="150">
        <v>0</v>
      </c>
      <c r="CQ54" s="150">
        <f t="shared" si="33"/>
        <v>0</v>
      </c>
      <c r="CR54" s="150">
        <f t="shared" si="34"/>
        <v>0</v>
      </c>
      <c r="CS54" s="150">
        <f t="shared" si="35"/>
        <v>0</v>
      </c>
      <c r="CT54" s="150">
        <f t="shared" si="36"/>
        <v>0</v>
      </c>
      <c r="CU54" s="150">
        <f t="shared" si="179"/>
        <v>0</v>
      </c>
      <c r="CV54" s="150">
        <f t="shared" ref="CV54:CV55" si="186">IF(CR54&lt;CT54,CR54,CT54)</f>
        <v>0</v>
      </c>
      <c r="CW54" s="150">
        <f t="shared" si="37"/>
        <v>0</v>
      </c>
      <c r="CX54" s="150">
        <f t="shared" si="38"/>
        <v>0</v>
      </c>
      <c r="CY54" s="150"/>
      <c r="CZ54" s="150"/>
      <c r="DA54" s="150">
        <f t="shared" si="39"/>
        <v>0</v>
      </c>
      <c r="DB54" s="150">
        <f t="shared" si="40"/>
        <v>0</v>
      </c>
      <c r="DC54" s="150">
        <v>0</v>
      </c>
      <c r="DD54" s="150">
        <v>0</v>
      </c>
      <c r="DE54" s="150">
        <f t="shared" si="41"/>
        <v>0</v>
      </c>
      <c r="DF54" s="150">
        <f t="shared" si="42"/>
        <v>0</v>
      </c>
      <c r="DG54" s="150">
        <f>ROUND(0.25*(MIN(CU54,DO54)),2)</f>
        <v>0</v>
      </c>
      <c r="DH54" s="150">
        <f>ROUND(0.25*(MIN(CV54,DP54)),2)</f>
        <v>0</v>
      </c>
      <c r="DI54" s="150">
        <f>+DG54-DE54</f>
        <v>0</v>
      </c>
      <c r="DJ54" s="150">
        <f>+DH54-DF54</f>
        <v>0</v>
      </c>
      <c r="DK54" s="104">
        <f t="shared" si="165"/>
        <v>0</v>
      </c>
      <c r="DL54" s="104">
        <f t="shared" si="166"/>
        <v>0</v>
      </c>
      <c r="DM54" s="104">
        <f t="shared" si="2"/>
        <v>0</v>
      </c>
      <c r="DN54" s="104">
        <f t="shared" si="3"/>
        <v>0</v>
      </c>
      <c r="DO54" s="104">
        <v>0</v>
      </c>
      <c r="DP54" s="104">
        <v>0</v>
      </c>
      <c r="DQ54" s="104">
        <v>0</v>
      </c>
      <c r="DR54" s="104">
        <v>0</v>
      </c>
    </row>
    <row r="55" spans="1:126" ht="18.75">
      <c r="A55" s="13"/>
      <c r="B55" s="13"/>
      <c r="C55" s="14"/>
      <c r="D55" s="145" t="s">
        <v>559</v>
      </c>
      <c r="E55" s="16"/>
      <c r="F55" s="81"/>
      <c r="G55" s="81"/>
      <c r="H55" s="81"/>
      <c r="I55" s="17"/>
      <c r="J55" s="86"/>
      <c r="K55" s="87"/>
      <c r="L55" s="87"/>
      <c r="M55" s="87"/>
      <c r="N55" s="87"/>
      <c r="O55" s="87"/>
      <c r="P55" s="87"/>
      <c r="Q55" s="87"/>
      <c r="R55" s="87"/>
      <c r="S55" s="87"/>
      <c r="V55" s="17"/>
      <c r="W55" s="17"/>
      <c r="X55" s="108"/>
      <c r="Y55" s="108"/>
      <c r="Z55" s="108"/>
      <c r="AA55" s="108"/>
      <c r="AB55" s="108"/>
      <c r="AC55" s="109"/>
      <c r="AD55" s="108"/>
      <c r="AE55" s="108"/>
      <c r="AF55" s="108"/>
      <c r="AG55" s="108"/>
      <c r="AH55" s="108"/>
      <c r="AI55" s="127"/>
      <c r="AY55" s="108">
        <f t="shared" si="17"/>
        <v>0</v>
      </c>
      <c r="AZ55" s="108">
        <f t="shared" si="18"/>
        <v>0</v>
      </c>
      <c r="BA55" s="108">
        <f t="shared" si="19"/>
        <v>0</v>
      </c>
      <c r="BB55" s="139">
        <v>0</v>
      </c>
      <c r="BD55" s="139">
        <f t="shared" si="20"/>
        <v>0</v>
      </c>
      <c r="BE55" s="139">
        <f t="shared" si="21"/>
        <v>0</v>
      </c>
      <c r="BF55" s="139">
        <f t="shared" si="22"/>
        <v>0</v>
      </c>
      <c r="BG55" s="139">
        <f t="shared" si="23"/>
        <v>0</v>
      </c>
      <c r="BH55" s="108">
        <v>0</v>
      </c>
      <c r="BI55" s="108">
        <v>0</v>
      </c>
      <c r="BL55" s="108">
        <f t="shared" si="1"/>
        <v>0</v>
      </c>
      <c r="BM55" s="108">
        <f t="shared" si="24"/>
        <v>0</v>
      </c>
      <c r="BN55" s="108">
        <f t="shared" si="25"/>
        <v>0</v>
      </c>
      <c r="BP55" s="127"/>
      <c r="BQ55" s="108">
        <f t="shared" si="26"/>
        <v>0</v>
      </c>
      <c r="BR55" s="108">
        <f t="shared" si="27"/>
        <v>0</v>
      </c>
      <c r="BS55" s="108">
        <f t="shared" si="28"/>
        <v>0</v>
      </c>
      <c r="BT55" s="108">
        <f t="shared" si="29"/>
        <v>0</v>
      </c>
      <c r="BU55" s="108">
        <f t="shared" si="185"/>
        <v>0</v>
      </c>
      <c r="BV55" s="108">
        <f t="shared" si="128"/>
        <v>0</v>
      </c>
      <c r="CA55" s="108">
        <v>0</v>
      </c>
      <c r="CB55" s="108">
        <v>0</v>
      </c>
      <c r="CC55">
        <v>0</v>
      </c>
      <c r="CD55">
        <v>0</v>
      </c>
      <c r="CE55" s="189">
        <v>0</v>
      </c>
      <c r="CF55" s="189">
        <v>0</v>
      </c>
      <c r="CG55" s="189">
        <f t="shared" si="31"/>
        <v>0</v>
      </c>
      <c r="CH55" s="189">
        <f t="shared" si="32"/>
        <v>0</v>
      </c>
      <c r="CI55" s="150"/>
      <c r="CJ55" s="150"/>
      <c r="CK55" s="150">
        <v>0</v>
      </c>
      <c r="CL55" s="150">
        <v>0</v>
      </c>
      <c r="CM55" s="150"/>
      <c r="CN55" s="150"/>
      <c r="CO55" s="150"/>
      <c r="CP55" s="150"/>
      <c r="CQ55" s="150">
        <f t="shared" si="33"/>
        <v>0</v>
      </c>
      <c r="CR55" s="150">
        <f t="shared" si="34"/>
        <v>0</v>
      </c>
      <c r="CS55" s="150">
        <f t="shared" si="35"/>
        <v>0</v>
      </c>
      <c r="CT55" s="150">
        <f t="shared" si="36"/>
        <v>0</v>
      </c>
      <c r="CU55" s="150">
        <f t="shared" si="179"/>
        <v>0</v>
      </c>
      <c r="CV55" s="150">
        <f t="shared" si="186"/>
        <v>0</v>
      </c>
      <c r="CW55" s="150">
        <f t="shared" si="37"/>
        <v>0</v>
      </c>
      <c r="CX55" s="150">
        <f t="shared" si="38"/>
        <v>0</v>
      </c>
      <c r="CY55" s="150"/>
      <c r="CZ55" s="150"/>
      <c r="DA55" s="150">
        <f t="shared" si="39"/>
        <v>0</v>
      </c>
      <c r="DB55" s="150">
        <f t="shared" si="40"/>
        <v>0</v>
      </c>
      <c r="DC55" s="150">
        <v>0</v>
      </c>
      <c r="DD55" s="150">
        <v>0</v>
      </c>
      <c r="DE55" s="150">
        <f t="shared" si="41"/>
        <v>0</v>
      </c>
      <c r="DF55" s="150">
        <f t="shared" si="42"/>
        <v>0</v>
      </c>
      <c r="DG55" s="150">
        <f>ROUND(0.25*(MIN(CU55,DO55)),2)</f>
        <v>0</v>
      </c>
      <c r="DH55" s="150">
        <f>ROUND(0.25*(MIN(CV55,DP55)),2)</f>
        <v>0</v>
      </c>
      <c r="DI55" s="150">
        <f>+DG55-DE55</f>
        <v>0</v>
      </c>
      <c r="DJ55" s="150">
        <f>+DH55-DF55</f>
        <v>0</v>
      </c>
      <c r="DK55" s="104">
        <f t="shared" si="165"/>
        <v>0</v>
      </c>
      <c r="DL55" s="104">
        <f t="shared" si="166"/>
        <v>0</v>
      </c>
      <c r="DM55" s="104">
        <f t="shared" si="2"/>
        <v>0</v>
      </c>
      <c r="DN55" s="104">
        <f t="shared" si="3"/>
        <v>0</v>
      </c>
    </row>
    <row r="56" spans="1:126" ht="18.75">
      <c r="A56" s="18"/>
      <c r="B56" s="18" t="s">
        <v>80</v>
      </c>
      <c r="C56" s="19" t="s">
        <v>40</v>
      </c>
      <c r="D56" s="20" t="s">
        <v>79</v>
      </c>
      <c r="E56" s="21" t="s">
        <v>81</v>
      </c>
      <c r="F56" s="22">
        <f t="shared" ref="F56" si="187">+F53+F54+F55</f>
        <v>971.93000000000006</v>
      </c>
      <c r="G56" s="22">
        <f t="shared" ref="G56" si="188">+G53+G54+G55</f>
        <v>120.08999999999999</v>
      </c>
      <c r="H56" s="22">
        <f t="shared" ref="H56" si="189">+H53+H54+H55</f>
        <v>960</v>
      </c>
      <c r="I56" s="22">
        <f t="shared" ref="I56" si="190">+I53+I54+I55</f>
        <v>98.569999999999979</v>
      </c>
      <c r="J56" s="22">
        <f t="shared" ref="J56" si="191">+J53+J54+J55</f>
        <v>1090</v>
      </c>
      <c r="K56" s="22">
        <f t="shared" ref="K56" si="192">+K53+K54+K55</f>
        <v>0</v>
      </c>
      <c r="L56" s="22">
        <f t="shared" ref="L56" si="193">+L53+L54+L55</f>
        <v>0</v>
      </c>
      <c r="M56" s="22">
        <f t="shared" ref="M56" si="194">+M53+M54+M55</f>
        <v>1090</v>
      </c>
      <c r="N56" s="22">
        <f t="shared" ref="N56" si="195">+N53+N54+N55</f>
        <v>0</v>
      </c>
      <c r="O56" s="22">
        <f t="shared" ref="O56" si="196">+O53+O54+O55</f>
        <v>0</v>
      </c>
      <c r="P56" s="22">
        <f t="shared" ref="P56" si="197">+P53+P54+P55</f>
        <v>0</v>
      </c>
      <c r="Q56" s="22">
        <f t="shared" ref="Q56" si="198">+Q53+Q54+Q55</f>
        <v>0</v>
      </c>
      <c r="R56" s="22">
        <f t="shared" ref="R56" si="199">+R53+R54+R55</f>
        <v>1090</v>
      </c>
      <c r="S56" s="22">
        <f t="shared" ref="S56" si="200">+S53+S54+S55</f>
        <v>113</v>
      </c>
      <c r="T56" s="22">
        <f t="shared" ref="T56" si="201">+T53+T54+T55</f>
        <v>0</v>
      </c>
      <c r="U56" s="22">
        <f t="shared" ref="U56" si="202">+U53+U54+U55</f>
        <v>0</v>
      </c>
      <c r="V56" s="22">
        <f t="shared" ref="V56" si="203">+V53+V54+V55</f>
        <v>1015.97</v>
      </c>
      <c r="W56" s="22">
        <f t="shared" ref="W56" si="204">+W53+W54+W55</f>
        <v>101.79</v>
      </c>
      <c r="X56" s="22">
        <f t="shared" ref="X56" si="205">+X53+X54+X55</f>
        <v>74.029999999999973</v>
      </c>
      <c r="Y56" s="22">
        <f t="shared" ref="Y56" si="206">+Y53+Y54+Y55</f>
        <v>11.209999999999994</v>
      </c>
      <c r="Z56" s="22">
        <f t="shared" ref="Z56" si="207">+Z53+Z54+Z55</f>
        <v>1015.97</v>
      </c>
      <c r="AA56" s="22">
        <f t="shared" ref="AA56" si="208">+AA53+AA54+AA55</f>
        <v>0</v>
      </c>
      <c r="AB56" s="22">
        <f t="shared" ref="AB56" si="209">+AB53+AB54+AB55</f>
        <v>1015.97</v>
      </c>
      <c r="AC56" s="22">
        <f t="shared" ref="AC56" si="210">+AC53+AC54+AC55</f>
        <v>0</v>
      </c>
      <c r="AD56" s="22">
        <f t="shared" ref="AD56" si="211">+AD53+AD54+AD55</f>
        <v>1015.97</v>
      </c>
      <c r="AE56" s="22">
        <f t="shared" ref="AE56" si="212">+AE53+AE54+AE55</f>
        <v>101.79</v>
      </c>
      <c r="AF56" s="22">
        <f t="shared" ref="AF56" si="213">+AF53+AF54+AF55</f>
        <v>101.95</v>
      </c>
      <c r="AG56" s="22">
        <f t="shared" ref="AG56" si="214">+AG53+AG54+AG55</f>
        <v>254</v>
      </c>
      <c r="AH56" s="22">
        <f t="shared" ref="AH56" si="215">+AH53+AH54+AH55</f>
        <v>25</v>
      </c>
      <c r="AI56" s="22">
        <f t="shared" ref="AI56" si="216">+AI53+AI54+AI55</f>
        <v>85</v>
      </c>
      <c r="AJ56" s="22">
        <f t="shared" ref="AJ56" si="217">+AJ53+AJ54+AJ55</f>
        <v>8</v>
      </c>
      <c r="AK56" s="22">
        <f t="shared" ref="AK56" si="218">+AK53+AK54+AK55</f>
        <v>0</v>
      </c>
      <c r="AL56" s="22">
        <f t="shared" ref="AL56" si="219">+AL53+AL54+AL55</f>
        <v>0</v>
      </c>
      <c r="AM56" s="22">
        <f t="shared" ref="AM56" si="220">+AM53+AM54+AM55</f>
        <v>253.99</v>
      </c>
      <c r="AN56" s="22">
        <f t="shared" ref="AN56" si="221">+AN53+AN54+AN55</f>
        <v>24.79</v>
      </c>
      <c r="AO56" s="22">
        <f t="shared" ref="AO56" si="222">+AO53+AO54+AO55</f>
        <v>0</v>
      </c>
      <c r="AP56" s="22">
        <f t="shared" ref="AP56" si="223">+AP53+AP54+AP55</f>
        <v>0</v>
      </c>
      <c r="AQ56" s="22">
        <f t="shared" ref="AQ56" si="224">+AQ53+AQ54+AQ55</f>
        <v>507.99</v>
      </c>
      <c r="AR56" s="22">
        <f t="shared" ref="AR56" si="225">+AR53+AR54+AR55</f>
        <v>49.79</v>
      </c>
      <c r="AS56" s="22">
        <f t="shared" ref="AS56" si="226">+AS53+AS54+AS55</f>
        <v>60</v>
      </c>
      <c r="AT56" s="22">
        <f t="shared" ref="AT56" si="227">+AT53+AT54+AT55</f>
        <v>0</v>
      </c>
      <c r="AU56" s="22">
        <f t="shared" ref="AU56" si="228">+AU53+AU54+AU55</f>
        <v>253.99</v>
      </c>
      <c r="AV56" s="22">
        <f t="shared" ref="AV56:DG56" si="229">+AV53+AV54+AV55</f>
        <v>0</v>
      </c>
      <c r="AW56" s="22">
        <f t="shared" si="229"/>
        <v>40</v>
      </c>
      <c r="AX56" s="22">
        <f t="shared" si="229"/>
        <v>0</v>
      </c>
      <c r="AY56" s="22">
        <f t="shared" si="229"/>
        <v>946.98</v>
      </c>
      <c r="AZ56" s="22">
        <f t="shared" si="229"/>
        <v>57.79</v>
      </c>
      <c r="BA56" s="22">
        <f t="shared" si="229"/>
        <v>1004.77</v>
      </c>
      <c r="BB56" s="22">
        <f t="shared" si="229"/>
        <v>938.96</v>
      </c>
      <c r="BC56" s="22">
        <f t="shared" si="229"/>
        <v>57.7</v>
      </c>
      <c r="BD56" s="22">
        <f t="shared" si="229"/>
        <v>8.0199999999999818</v>
      </c>
      <c r="BE56" s="22">
        <f t="shared" si="229"/>
        <v>8.9999999999996305E-2</v>
      </c>
      <c r="BF56" s="22">
        <f t="shared" si="229"/>
        <v>187.79</v>
      </c>
      <c r="BG56" s="118">
        <f t="shared" si="229"/>
        <v>11.54</v>
      </c>
      <c r="BH56" s="118">
        <f t="shared" si="229"/>
        <v>63.86</v>
      </c>
      <c r="BI56" s="118">
        <f t="shared" si="229"/>
        <v>0</v>
      </c>
      <c r="BJ56" s="118">
        <f t="shared" si="229"/>
        <v>30</v>
      </c>
      <c r="BK56" s="118">
        <f t="shared" si="229"/>
        <v>5</v>
      </c>
      <c r="BL56" s="118">
        <f t="shared" si="229"/>
        <v>1040.8400000000001</v>
      </c>
      <c r="BM56" s="118">
        <f t="shared" si="229"/>
        <v>62.79</v>
      </c>
      <c r="BN56" s="118">
        <f t="shared" si="229"/>
        <v>1103.6300000000001</v>
      </c>
      <c r="BO56" s="118">
        <f t="shared" si="229"/>
        <v>1036.83</v>
      </c>
      <c r="BP56" s="118">
        <f t="shared" si="229"/>
        <v>57.7</v>
      </c>
      <c r="BQ56" s="22">
        <f t="shared" si="229"/>
        <v>4.0100000000002183</v>
      </c>
      <c r="BR56" s="22">
        <f t="shared" si="229"/>
        <v>5.0899999999999963</v>
      </c>
      <c r="BS56" s="22">
        <f t="shared" si="229"/>
        <v>94.26</v>
      </c>
      <c r="BT56" s="22">
        <f t="shared" si="229"/>
        <v>5.25</v>
      </c>
      <c r="BU56" s="22">
        <f t="shared" si="229"/>
        <v>90.25</v>
      </c>
      <c r="BV56" s="22">
        <f t="shared" si="229"/>
        <v>0</v>
      </c>
      <c r="BW56" s="22">
        <f t="shared" si="229"/>
        <v>5</v>
      </c>
      <c r="BX56" s="22">
        <f t="shared" si="229"/>
        <v>0</v>
      </c>
      <c r="BY56" s="22">
        <f t="shared" si="229"/>
        <v>0</v>
      </c>
      <c r="BZ56" s="22">
        <f t="shared" si="229"/>
        <v>0</v>
      </c>
      <c r="CA56" s="22">
        <f t="shared" si="229"/>
        <v>1136.0900000000001</v>
      </c>
      <c r="CB56" s="22">
        <f t="shared" si="229"/>
        <v>62.79</v>
      </c>
      <c r="CC56" s="22">
        <f t="shared" si="229"/>
        <v>1249.7</v>
      </c>
      <c r="CD56" s="118">
        <f t="shared" si="229"/>
        <v>72.209999999999994</v>
      </c>
      <c r="CE56" s="190">
        <f t="shared" si="229"/>
        <v>104</v>
      </c>
      <c r="CF56" s="190">
        <f t="shared" si="229"/>
        <v>6</v>
      </c>
      <c r="CG56" s="190">
        <f t="shared" si="229"/>
        <v>284.02</v>
      </c>
      <c r="CH56" s="190">
        <f t="shared" si="229"/>
        <v>15.7</v>
      </c>
      <c r="CI56" s="190">
        <f t="shared" si="229"/>
        <v>0</v>
      </c>
      <c r="CJ56" s="190">
        <f t="shared" si="229"/>
        <v>0</v>
      </c>
      <c r="CK56" s="190">
        <f t="shared" si="229"/>
        <v>315</v>
      </c>
      <c r="CL56" s="190">
        <f t="shared" si="229"/>
        <v>0</v>
      </c>
      <c r="CM56" s="190">
        <f t="shared" si="229"/>
        <v>0</v>
      </c>
      <c r="CN56" s="190">
        <f t="shared" si="229"/>
        <v>0</v>
      </c>
      <c r="CO56" s="190">
        <f t="shared" si="229"/>
        <v>1339</v>
      </c>
      <c r="CP56" s="190">
        <f t="shared" si="229"/>
        <v>105</v>
      </c>
      <c r="CQ56" s="190">
        <f t="shared" si="229"/>
        <v>1260</v>
      </c>
      <c r="CR56" s="190">
        <f t="shared" si="229"/>
        <v>0</v>
      </c>
      <c r="CS56" s="190">
        <f t="shared" si="229"/>
        <v>1260</v>
      </c>
      <c r="CT56" s="190">
        <f t="shared" si="229"/>
        <v>105</v>
      </c>
      <c r="CU56" s="190">
        <f t="shared" si="229"/>
        <v>1260</v>
      </c>
      <c r="CV56" s="190">
        <f t="shared" si="229"/>
        <v>107.25</v>
      </c>
      <c r="CW56" s="190">
        <f t="shared" si="229"/>
        <v>315</v>
      </c>
      <c r="CX56" s="190">
        <f t="shared" si="229"/>
        <v>26.25</v>
      </c>
      <c r="CY56" s="190">
        <f t="shared" si="229"/>
        <v>0</v>
      </c>
      <c r="CZ56" s="190">
        <f t="shared" si="229"/>
        <v>75</v>
      </c>
      <c r="DA56" s="190">
        <f t="shared" si="229"/>
        <v>734</v>
      </c>
      <c r="DB56" s="190">
        <f t="shared" si="229"/>
        <v>107.25</v>
      </c>
      <c r="DC56" s="190">
        <f t="shared" si="229"/>
        <v>710.98</v>
      </c>
      <c r="DD56" s="190">
        <f t="shared" si="229"/>
        <v>103.19</v>
      </c>
      <c r="DE56" s="190">
        <f t="shared" si="229"/>
        <v>23.019999999999982</v>
      </c>
      <c r="DF56" s="190">
        <f t="shared" si="229"/>
        <v>4.0600000000000023</v>
      </c>
      <c r="DG56" s="190">
        <f t="shared" si="229"/>
        <v>315</v>
      </c>
      <c r="DH56" s="190">
        <f t="shared" ref="DH56:DV56" si="230">+DH53+DH54+DH55</f>
        <v>26.25</v>
      </c>
      <c r="DI56" s="190">
        <f t="shared" si="230"/>
        <v>291.98</v>
      </c>
      <c r="DJ56" s="190">
        <f t="shared" si="230"/>
        <v>0</v>
      </c>
      <c r="DK56" s="104">
        <f t="shared" si="165"/>
        <v>234.01999999999998</v>
      </c>
      <c r="DL56" s="104">
        <f t="shared" si="166"/>
        <v>12.75</v>
      </c>
      <c r="DM56" s="104">
        <f t="shared" si="2"/>
        <v>234.01999999999998</v>
      </c>
      <c r="DN56" s="104">
        <f t="shared" si="3"/>
        <v>0</v>
      </c>
      <c r="DO56" s="22">
        <f t="shared" si="230"/>
        <v>1260</v>
      </c>
      <c r="DP56" s="22">
        <f t="shared" si="230"/>
        <v>120</v>
      </c>
      <c r="DQ56" s="22">
        <f t="shared" si="230"/>
        <v>0</v>
      </c>
      <c r="DR56" s="22">
        <f t="shared" si="230"/>
        <v>0</v>
      </c>
      <c r="DS56" s="22">
        <f t="shared" si="230"/>
        <v>0</v>
      </c>
      <c r="DT56" s="22">
        <f t="shared" si="230"/>
        <v>0</v>
      </c>
      <c r="DU56" s="22">
        <f t="shared" si="230"/>
        <v>0</v>
      </c>
      <c r="DV56" s="22">
        <f t="shared" si="230"/>
        <v>0</v>
      </c>
    </row>
    <row r="57" spans="1:126" ht="18.75">
      <c r="A57" s="13">
        <v>39</v>
      </c>
      <c r="B57" s="13"/>
      <c r="C57" s="14"/>
      <c r="D57" s="120" t="s">
        <v>82</v>
      </c>
      <c r="E57" s="16"/>
      <c r="F57" s="81">
        <v>749.75</v>
      </c>
      <c r="G57" s="81">
        <v>52.2</v>
      </c>
      <c r="H57" s="81">
        <v>749.75</v>
      </c>
      <c r="I57" s="17">
        <v>37.450000000000003</v>
      </c>
      <c r="J57" s="86">
        <v>780</v>
      </c>
      <c r="K57" s="87">
        <v>0</v>
      </c>
      <c r="L57" s="87">
        <v>0</v>
      </c>
      <c r="M57" s="87">
        <f>J57+K57+L57</f>
        <v>780</v>
      </c>
      <c r="N57" s="87">
        <v>0</v>
      </c>
      <c r="O57" s="87">
        <v>0</v>
      </c>
      <c r="P57" s="87">
        <v>0</v>
      </c>
      <c r="Q57" s="87">
        <f>N57+O57+P57</f>
        <v>0</v>
      </c>
      <c r="R57" s="87">
        <f t="shared" si="135"/>
        <v>780</v>
      </c>
      <c r="S57" s="87">
        <v>0</v>
      </c>
      <c r="V57" s="17">
        <f t="shared" ref="V57" si="231">ROUND(H57*1.0583,2)</f>
        <v>793.46</v>
      </c>
      <c r="W57" s="17">
        <f t="shared" ref="W57" si="232">ROUND(I57*1.0327,2)</f>
        <v>38.67</v>
      </c>
      <c r="X57" s="109">
        <f t="shared" si="4"/>
        <v>-13.460000000000036</v>
      </c>
      <c r="Y57" s="109">
        <f t="shared" si="5"/>
        <v>-38.67</v>
      </c>
      <c r="Z57" s="116">
        <v>780</v>
      </c>
      <c r="AA57" s="116"/>
      <c r="AB57" s="116">
        <f t="shared" si="6"/>
        <v>780</v>
      </c>
      <c r="AC57" s="109">
        <f t="shared" si="7"/>
        <v>0</v>
      </c>
      <c r="AD57" s="108">
        <f t="shared" ref="AD57" si="233">IF(X57&gt;0,V57,R57)</f>
        <v>780</v>
      </c>
      <c r="AE57" s="108">
        <f>IF(Y57&gt;0,W57,S57)+12.95</f>
        <v>12.95</v>
      </c>
      <c r="AF57" s="108">
        <f t="shared" si="8"/>
        <v>0</v>
      </c>
      <c r="AG57" s="108">
        <f t="shared" si="9"/>
        <v>195</v>
      </c>
      <c r="AH57" s="108">
        <f>ROUND(AE57/4,0)-3</f>
        <v>0</v>
      </c>
      <c r="AI57" s="127">
        <f t="shared" si="10"/>
        <v>65</v>
      </c>
      <c r="AJ57" s="108">
        <f>ROUND(AE57/12,0)-1</f>
        <v>0</v>
      </c>
      <c r="AL57" s="142">
        <v>12.95</v>
      </c>
      <c r="AM57" s="108">
        <f t="shared" si="12"/>
        <v>195</v>
      </c>
      <c r="AN57" s="108">
        <f>ROUND(AE57*24.35%,2)-3.15</f>
        <v>0</v>
      </c>
      <c r="AQ57" s="108">
        <f t="shared" si="14"/>
        <v>390</v>
      </c>
      <c r="AR57" s="116">
        <f t="shared" si="15"/>
        <v>12.95</v>
      </c>
      <c r="AS57" s="143">
        <v>25</v>
      </c>
      <c r="AT57" s="116"/>
      <c r="AU57" s="116">
        <f>ROUND(AD57*25%,2)+10</f>
        <v>205</v>
      </c>
      <c r="AV57" s="116">
        <f>ROUND(AE57*25%,2)-1.69+0.2</f>
        <v>1.7500000000000002</v>
      </c>
      <c r="AW57" s="116"/>
      <c r="AX57" s="116"/>
      <c r="AY57" s="108">
        <f t="shared" si="17"/>
        <v>685</v>
      </c>
      <c r="AZ57" s="108">
        <f t="shared" si="18"/>
        <v>14.7</v>
      </c>
      <c r="BA57" s="108">
        <f t="shared" si="19"/>
        <v>699.7</v>
      </c>
      <c r="BB57" s="139">
        <v>674.75</v>
      </c>
      <c r="BC57" s="139">
        <v>14.47</v>
      </c>
      <c r="BD57" s="139">
        <f t="shared" si="20"/>
        <v>10.25</v>
      </c>
      <c r="BE57" s="139">
        <f t="shared" si="21"/>
        <v>0.22999999999999865</v>
      </c>
      <c r="BF57" s="139">
        <f t="shared" si="22"/>
        <v>134.94999999999999</v>
      </c>
      <c r="BG57" s="139">
        <f t="shared" si="23"/>
        <v>2.89</v>
      </c>
      <c r="BH57" s="108">
        <v>62.35</v>
      </c>
      <c r="BI57" s="109">
        <v>0</v>
      </c>
      <c r="BJ57" s="109"/>
      <c r="BK57" s="109"/>
      <c r="BL57" s="108">
        <f t="shared" si="1"/>
        <v>747.35</v>
      </c>
      <c r="BM57" s="108">
        <f t="shared" si="24"/>
        <v>14.7</v>
      </c>
      <c r="BN57" s="108">
        <f t="shared" si="25"/>
        <v>762.05000000000007</v>
      </c>
      <c r="BO57" s="108">
        <v>743.89</v>
      </c>
      <c r="BP57" s="127">
        <v>14.7</v>
      </c>
      <c r="BQ57" s="108">
        <f t="shared" si="26"/>
        <v>3.4600000000000364</v>
      </c>
      <c r="BR57" s="108">
        <f t="shared" si="27"/>
        <v>0</v>
      </c>
      <c r="BS57" s="108">
        <f t="shared" si="28"/>
        <v>67.63</v>
      </c>
      <c r="BT57" s="108">
        <f t="shared" si="29"/>
        <v>1.34</v>
      </c>
      <c r="BU57" s="143">
        <f>BS57-BQ57+15+1.48</f>
        <v>80.649999999999963</v>
      </c>
      <c r="BV57" s="108">
        <v>0</v>
      </c>
      <c r="CA57" s="108">
        <v>828</v>
      </c>
      <c r="CB57" s="108">
        <v>14.7</v>
      </c>
      <c r="CC57">
        <v>910.8</v>
      </c>
      <c r="CD57">
        <v>16.91</v>
      </c>
      <c r="CE57" s="189">
        <v>76</v>
      </c>
      <c r="CF57" s="189">
        <v>1</v>
      </c>
      <c r="CG57" s="189">
        <f t="shared" si="31"/>
        <v>207</v>
      </c>
      <c r="CH57" s="189">
        <f t="shared" si="32"/>
        <v>3.68</v>
      </c>
      <c r="CI57" s="150"/>
      <c r="CJ57" s="150"/>
      <c r="CK57" s="150">
        <v>220</v>
      </c>
      <c r="CL57" s="150">
        <v>0</v>
      </c>
      <c r="CM57" s="150"/>
      <c r="CN57" s="150"/>
      <c r="CO57" s="150">
        <v>885</v>
      </c>
      <c r="CP57" s="150">
        <v>45</v>
      </c>
      <c r="CQ57" s="150">
        <f t="shared" si="33"/>
        <v>880</v>
      </c>
      <c r="CR57" s="150">
        <f t="shared" si="34"/>
        <v>0</v>
      </c>
      <c r="CS57" s="150">
        <f t="shared" si="35"/>
        <v>880</v>
      </c>
      <c r="CT57" s="150">
        <f>IF(CP57&lt;CR57,CP57,CR57)+45</f>
        <v>45</v>
      </c>
      <c r="CU57" s="150">
        <f t="shared" si="35"/>
        <v>880</v>
      </c>
      <c r="CV57" s="150">
        <v>1</v>
      </c>
      <c r="CW57" s="150">
        <f t="shared" si="37"/>
        <v>220</v>
      </c>
      <c r="CX57" s="150">
        <f>ROUND(CV57*25%,2)-0.25</f>
        <v>0</v>
      </c>
      <c r="CY57" s="150"/>
      <c r="CZ57" s="150"/>
      <c r="DA57" s="150">
        <f t="shared" si="39"/>
        <v>516</v>
      </c>
      <c r="DB57" s="150">
        <f t="shared" si="40"/>
        <v>1</v>
      </c>
      <c r="DC57" s="150">
        <v>509.18</v>
      </c>
      <c r="DD57" s="150">
        <v>0</v>
      </c>
      <c r="DE57" s="150">
        <f t="shared" si="41"/>
        <v>6.8199999999999932</v>
      </c>
      <c r="DF57" s="150">
        <f t="shared" si="42"/>
        <v>1</v>
      </c>
      <c r="DG57" s="150">
        <f>ROUND(0.25*(MIN(CU57,DO57)),2)</f>
        <v>220</v>
      </c>
      <c r="DH57" s="150">
        <f>ROUND(0.25*(MIN(CV57,DP57)),2)</f>
        <v>0.25</v>
      </c>
      <c r="DI57" s="150">
        <f>+DG57-DE57</f>
        <v>213.18</v>
      </c>
      <c r="DJ57" s="150">
        <f>+DH57-DF57+0.75</f>
        <v>0</v>
      </c>
      <c r="DK57" s="104">
        <f t="shared" si="165"/>
        <v>150.82</v>
      </c>
      <c r="DL57" s="104">
        <f t="shared" si="166"/>
        <v>0</v>
      </c>
      <c r="DM57" s="104">
        <f t="shared" si="2"/>
        <v>150.82</v>
      </c>
      <c r="DN57" s="104">
        <f t="shared" si="3"/>
        <v>0</v>
      </c>
      <c r="DO57" s="104">
        <v>880</v>
      </c>
      <c r="DP57" s="178">
        <f>0+1</f>
        <v>1</v>
      </c>
      <c r="DQ57" s="104">
        <v>930</v>
      </c>
      <c r="DR57" s="104">
        <v>0</v>
      </c>
    </row>
    <row r="58" spans="1:126" ht="18.75">
      <c r="A58" s="13">
        <v>40</v>
      </c>
      <c r="B58" s="13"/>
      <c r="C58" s="14"/>
      <c r="D58" s="15" t="s">
        <v>83</v>
      </c>
      <c r="E58" s="16"/>
      <c r="F58" s="81">
        <v>929.07999999999993</v>
      </c>
      <c r="G58" s="81">
        <v>0</v>
      </c>
      <c r="H58" s="81">
        <v>929.07999999999993</v>
      </c>
      <c r="I58" s="17">
        <v>0</v>
      </c>
      <c r="J58" s="86">
        <v>950</v>
      </c>
      <c r="K58" s="87">
        <v>0</v>
      </c>
      <c r="L58" s="87">
        <v>0</v>
      </c>
      <c r="M58" s="87">
        <f>J58+K58+L58</f>
        <v>950</v>
      </c>
      <c r="N58" s="87">
        <v>100</v>
      </c>
      <c r="O58" s="87">
        <v>0</v>
      </c>
      <c r="P58" s="87">
        <v>0</v>
      </c>
      <c r="Q58" s="87">
        <f>N58+O58+P58</f>
        <v>100</v>
      </c>
      <c r="R58" s="87">
        <f t="shared" si="135"/>
        <v>1050</v>
      </c>
      <c r="S58" s="87">
        <v>0</v>
      </c>
      <c r="V58" s="17">
        <f t="shared" ref="V58" si="234">ROUND(H58*1.0583,2)</f>
        <v>983.25</v>
      </c>
      <c r="W58" s="17">
        <f t="shared" ref="W58" si="235">ROUND(I58*1.0327,2)</f>
        <v>0</v>
      </c>
      <c r="X58" s="108">
        <f t="shared" si="4"/>
        <v>66.75</v>
      </c>
      <c r="Y58" s="108">
        <f t="shared" si="5"/>
        <v>0</v>
      </c>
      <c r="Z58" s="108">
        <v>900</v>
      </c>
      <c r="AA58" s="108">
        <v>83.25</v>
      </c>
      <c r="AB58" s="108">
        <f t="shared" si="6"/>
        <v>983.25</v>
      </c>
      <c r="AC58" s="109">
        <f t="shared" si="7"/>
        <v>0</v>
      </c>
      <c r="AD58" s="108">
        <f t="shared" ref="AD58" si="236">IF(X58&gt;0,V58,R58)</f>
        <v>983.25</v>
      </c>
      <c r="AE58" s="108">
        <f t="shared" ref="AE58" si="237">IF(Y58&gt;0,W58,S58)</f>
        <v>0</v>
      </c>
      <c r="AF58" s="108">
        <f t="shared" si="8"/>
        <v>0</v>
      </c>
      <c r="AG58" s="108">
        <f t="shared" si="9"/>
        <v>246</v>
      </c>
      <c r="AH58" s="108">
        <f t="shared" si="46"/>
        <v>0</v>
      </c>
      <c r="AI58" s="127">
        <f t="shared" si="10"/>
        <v>82</v>
      </c>
      <c r="AJ58" s="108">
        <f t="shared" si="11"/>
        <v>0</v>
      </c>
      <c r="AM58" s="108">
        <f t="shared" si="12"/>
        <v>245.81</v>
      </c>
      <c r="AN58" s="108">
        <f t="shared" si="13"/>
        <v>0</v>
      </c>
      <c r="AQ58" s="108">
        <f t="shared" si="14"/>
        <v>491.81</v>
      </c>
      <c r="AR58" s="108">
        <f t="shared" si="15"/>
        <v>0</v>
      </c>
      <c r="AU58" s="108">
        <f t="shared" si="0"/>
        <v>245.81</v>
      </c>
      <c r="AV58" s="108">
        <f t="shared" si="184"/>
        <v>0</v>
      </c>
      <c r="AY58" s="108">
        <f t="shared" si="17"/>
        <v>819.62</v>
      </c>
      <c r="AZ58" s="108">
        <f t="shared" si="18"/>
        <v>0</v>
      </c>
      <c r="BA58" s="108">
        <f t="shared" si="19"/>
        <v>819.62</v>
      </c>
      <c r="BB58" s="139">
        <v>818.92</v>
      </c>
      <c r="BD58" s="139">
        <f t="shared" si="20"/>
        <v>0.70000000000004547</v>
      </c>
      <c r="BE58" s="139">
        <f t="shared" si="21"/>
        <v>0</v>
      </c>
      <c r="BF58" s="139">
        <f t="shared" si="22"/>
        <v>163.78</v>
      </c>
      <c r="BG58" s="139">
        <f t="shared" si="23"/>
        <v>0</v>
      </c>
      <c r="BH58" s="108">
        <v>81.540000000000006</v>
      </c>
      <c r="BI58" s="108">
        <v>0</v>
      </c>
      <c r="BL58" s="108">
        <f t="shared" si="1"/>
        <v>901.16</v>
      </c>
      <c r="BM58" s="108">
        <f t="shared" si="24"/>
        <v>0</v>
      </c>
      <c r="BN58" s="108">
        <f t="shared" si="25"/>
        <v>901.16</v>
      </c>
      <c r="BO58" s="108">
        <v>818.92</v>
      </c>
      <c r="BP58" s="127"/>
      <c r="BQ58" s="108">
        <f t="shared" si="26"/>
        <v>82.240000000000009</v>
      </c>
      <c r="BR58" s="108">
        <f t="shared" si="27"/>
        <v>0</v>
      </c>
      <c r="BS58" s="108">
        <f t="shared" si="28"/>
        <v>74.45</v>
      </c>
      <c r="BT58" s="108">
        <f t="shared" si="29"/>
        <v>0</v>
      </c>
      <c r="BU58" s="108">
        <v>0</v>
      </c>
      <c r="BV58" s="108">
        <f t="shared" si="128"/>
        <v>0</v>
      </c>
      <c r="BW58" s="108">
        <v>248.84</v>
      </c>
      <c r="CA58" s="108">
        <v>1150</v>
      </c>
      <c r="CB58" s="108">
        <v>0</v>
      </c>
      <c r="CC58">
        <v>1265</v>
      </c>
      <c r="CD58">
        <v>0</v>
      </c>
      <c r="CE58" s="189">
        <v>105</v>
      </c>
      <c r="CF58" s="189">
        <v>0</v>
      </c>
      <c r="CG58" s="189">
        <f t="shared" si="31"/>
        <v>287.5</v>
      </c>
      <c r="CH58" s="189">
        <f t="shared" si="32"/>
        <v>0</v>
      </c>
      <c r="CI58" s="150"/>
      <c r="CJ58" s="150"/>
      <c r="CK58" s="150">
        <v>300</v>
      </c>
      <c r="CL58" s="150">
        <v>0</v>
      </c>
      <c r="CM58" s="150"/>
      <c r="CN58" s="150"/>
      <c r="CO58" s="150">
        <v>1200</v>
      </c>
      <c r="CP58" s="150"/>
      <c r="CQ58" s="150">
        <f t="shared" si="33"/>
        <v>1200</v>
      </c>
      <c r="CR58" s="150">
        <f t="shared" si="34"/>
        <v>0</v>
      </c>
      <c r="CS58" s="150">
        <f t="shared" si="35"/>
        <v>1200</v>
      </c>
      <c r="CT58" s="150">
        <f t="shared" si="36"/>
        <v>0</v>
      </c>
      <c r="CU58" s="150">
        <f t="shared" si="35"/>
        <v>1200</v>
      </c>
      <c r="CV58" s="150">
        <v>0</v>
      </c>
      <c r="CW58" s="150">
        <f t="shared" si="37"/>
        <v>300</v>
      </c>
      <c r="CX58" s="150">
        <f t="shared" si="38"/>
        <v>0</v>
      </c>
      <c r="CY58" s="150"/>
      <c r="CZ58" s="150"/>
      <c r="DA58" s="150">
        <f t="shared" si="39"/>
        <v>705</v>
      </c>
      <c r="DB58" s="150">
        <f t="shared" si="40"/>
        <v>0</v>
      </c>
      <c r="DC58" s="150">
        <v>669</v>
      </c>
      <c r="DD58" s="150">
        <v>0</v>
      </c>
      <c r="DE58" s="150">
        <f t="shared" si="41"/>
        <v>36</v>
      </c>
      <c r="DF58" s="150">
        <f t="shared" si="42"/>
        <v>0</v>
      </c>
      <c r="DG58" s="150">
        <f>ROUND(0.25*(MIN(CU58,DO58)),2)</f>
        <v>300</v>
      </c>
      <c r="DH58" s="150">
        <f>ROUND(0.25*(MIN(CV58,DP58)),2)</f>
        <v>0</v>
      </c>
      <c r="DI58" s="150">
        <f>+DG58-DE58</f>
        <v>264</v>
      </c>
      <c r="DJ58" s="150">
        <f>+DH58-DF58</f>
        <v>0</v>
      </c>
      <c r="DK58" s="104">
        <f t="shared" si="165"/>
        <v>231</v>
      </c>
      <c r="DL58" s="104">
        <f t="shared" si="166"/>
        <v>0</v>
      </c>
      <c r="DM58" s="104">
        <f t="shared" si="2"/>
        <v>231</v>
      </c>
      <c r="DN58" s="104">
        <f t="shared" si="3"/>
        <v>0</v>
      </c>
      <c r="DO58" s="104">
        <v>1200</v>
      </c>
      <c r="DP58" s="104">
        <v>0</v>
      </c>
      <c r="DQ58" s="104">
        <v>1250</v>
      </c>
      <c r="DR58" s="104">
        <v>0</v>
      </c>
    </row>
    <row r="59" spans="1:126" ht="18.75">
      <c r="A59" s="18"/>
      <c r="B59" s="18" t="s">
        <v>84</v>
      </c>
      <c r="C59" s="19" t="s">
        <v>85</v>
      </c>
      <c r="D59" s="20" t="s">
        <v>82</v>
      </c>
      <c r="E59" s="21" t="s">
        <v>86</v>
      </c>
      <c r="F59" s="22">
        <v>1678.83</v>
      </c>
      <c r="G59" s="22">
        <v>52.2</v>
      </c>
      <c r="H59" s="22">
        <v>1678.83</v>
      </c>
      <c r="I59" s="22">
        <v>37.450000000000003</v>
      </c>
      <c r="J59" s="88">
        <f t="shared" ref="J59:AA59" si="238">+J57+J58</f>
        <v>1730</v>
      </c>
      <c r="K59" s="88">
        <f t="shared" si="238"/>
        <v>0</v>
      </c>
      <c r="L59" s="88">
        <f t="shared" si="238"/>
        <v>0</v>
      </c>
      <c r="M59" s="88">
        <f t="shared" si="238"/>
        <v>1730</v>
      </c>
      <c r="N59" s="88">
        <f t="shared" si="238"/>
        <v>100</v>
      </c>
      <c r="O59" s="88">
        <f t="shared" si="238"/>
        <v>0</v>
      </c>
      <c r="P59" s="88">
        <f t="shared" si="238"/>
        <v>0</v>
      </c>
      <c r="Q59" s="88">
        <f t="shared" si="238"/>
        <v>100</v>
      </c>
      <c r="R59" s="88">
        <f t="shared" si="238"/>
        <v>1830</v>
      </c>
      <c r="S59" s="88">
        <f t="shared" si="238"/>
        <v>0</v>
      </c>
      <c r="T59" s="88">
        <f t="shared" si="238"/>
        <v>0</v>
      </c>
      <c r="U59" s="88">
        <f t="shared" si="238"/>
        <v>0</v>
      </c>
      <c r="V59" s="88">
        <f t="shared" si="238"/>
        <v>1776.71</v>
      </c>
      <c r="W59" s="88">
        <f t="shared" si="238"/>
        <v>38.67</v>
      </c>
      <c r="X59" s="88">
        <f t="shared" si="238"/>
        <v>53.289999999999964</v>
      </c>
      <c r="Y59" s="88">
        <f t="shared" si="238"/>
        <v>-38.67</v>
      </c>
      <c r="Z59" s="88">
        <f t="shared" si="238"/>
        <v>1680</v>
      </c>
      <c r="AA59" s="88">
        <f t="shared" si="238"/>
        <v>83.25</v>
      </c>
      <c r="AB59" s="22">
        <f t="shared" si="6"/>
        <v>1763.25</v>
      </c>
      <c r="AC59" s="109">
        <f t="shared" si="7"/>
        <v>0</v>
      </c>
      <c r="AD59" s="22">
        <f t="shared" ref="AD59:CP59" si="239">+AD57+AD58</f>
        <v>1763.25</v>
      </c>
      <c r="AE59" s="22">
        <f t="shared" si="239"/>
        <v>12.95</v>
      </c>
      <c r="AF59" s="22">
        <f t="shared" si="239"/>
        <v>0</v>
      </c>
      <c r="AG59" s="22">
        <f t="shared" si="239"/>
        <v>441</v>
      </c>
      <c r="AH59" s="22">
        <f t="shared" si="239"/>
        <v>0</v>
      </c>
      <c r="AI59" s="118">
        <f t="shared" si="239"/>
        <v>147</v>
      </c>
      <c r="AJ59" s="22">
        <f t="shared" si="239"/>
        <v>0</v>
      </c>
      <c r="AK59" s="22">
        <f t="shared" si="239"/>
        <v>0</v>
      </c>
      <c r="AL59" s="22">
        <f t="shared" si="239"/>
        <v>12.95</v>
      </c>
      <c r="AM59" s="22">
        <f t="shared" si="239"/>
        <v>440.81</v>
      </c>
      <c r="AN59" s="22">
        <f t="shared" si="239"/>
        <v>0</v>
      </c>
      <c r="AO59" s="22">
        <f t="shared" si="239"/>
        <v>0</v>
      </c>
      <c r="AP59" s="22">
        <f t="shared" si="239"/>
        <v>0</v>
      </c>
      <c r="AQ59" s="22">
        <f t="shared" si="239"/>
        <v>881.81</v>
      </c>
      <c r="AR59" s="22">
        <f t="shared" si="239"/>
        <v>12.95</v>
      </c>
      <c r="AS59" s="22">
        <f t="shared" si="239"/>
        <v>25</v>
      </c>
      <c r="AT59" s="22">
        <f t="shared" si="239"/>
        <v>0</v>
      </c>
      <c r="AU59" s="22">
        <f t="shared" si="239"/>
        <v>450.81</v>
      </c>
      <c r="AV59" s="22">
        <f t="shared" si="239"/>
        <v>1.7500000000000002</v>
      </c>
      <c r="AW59" s="22">
        <f t="shared" si="239"/>
        <v>0</v>
      </c>
      <c r="AX59" s="22">
        <f t="shared" si="239"/>
        <v>0</v>
      </c>
      <c r="AY59" s="22">
        <f t="shared" si="239"/>
        <v>1504.62</v>
      </c>
      <c r="AZ59" s="22">
        <f t="shared" si="239"/>
        <v>14.7</v>
      </c>
      <c r="BA59" s="22">
        <f t="shared" si="239"/>
        <v>1519.3200000000002</v>
      </c>
      <c r="BB59" s="22">
        <f t="shared" si="239"/>
        <v>1493.67</v>
      </c>
      <c r="BC59" s="22">
        <f t="shared" si="239"/>
        <v>14.47</v>
      </c>
      <c r="BD59" s="22">
        <f t="shared" si="239"/>
        <v>10.950000000000045</v>
      </c>
      <c r="BE59" s="22">
        <f t="shared" si="239"/>
        <v>0.22999999999999865</v>
      </c>
      <c r="BF59" s="22">
        <f t="shared" si="239"/>
        <v>298.73</v>
      </c>
      <c r="BG59" s="118">
        <f t="shared" si="239"/>
        <v>2.89</v>
      </c>
      <c r="BH59" s="118">
        <f t="shared" si="239"/>
        <v>143.89000000000001</v>
      </c>
      <c r="BI59" s="118">
        <f t="shared" si="239"/>
        <v>0</v>
      </c>
      <c r="BJ59" s="118">
        <f t="shared" si="239"/>
        <v>0</v>
      </c>
      <c r="BK59" s="118">
        <f t="shared" si="239"/>
        <v>0</v>
      </c>
      <c r="BL59" s="118">
        <f t="shared" si="239"/>
        <v>1648.51</v>
      </c>
      <c r="BM59" s="118">
        <f t="shared" si="239"/>
        <v>14.7</v>
      </c>
      <c r="BN59" s="118">
        <f t="shared" si="239"/>
        <v>1663.21</v>
      </c>
      <c r="BO59" s="118">
        <f t="shared" si="239"/>
        <v>1562.81</v>
      </c>
      <c r="BP59" s="118">
        <f t="shared" si="239"/>
        <v>14.7</v>
      </c>
      <c r="BQ59" s="22">
        <f t="shared" si="239"/>
        <v>85.700000000000045</v>
      </c>
      <c r="BR59" s="22">
        <f t="shared" si="239"/>
        <v>0</v>
      </c>
      <c r="BS59" s="22">
        <f t="shared" si="239"/>
        <v>142.07999999999998</v>
      </c>
      <c r="BT59" s="22">
        <f t="shared" si="239"/>
        <v>1.34</v>
      </c>
      <c r="BU59" s="22">
        <f t="shared" si="239"/>
        <v>80.649999999999963</v>
      </c>
      <c r="BV59" s="22">
        <f t="shared" si="239"/>
        <v>0</v>
      </c>
      <c r="BW59" s="22">
        <f t="shared" si="239"/>
        <v>248.84</v>
      </c>
      <c r="BX59" s="22">
        <f t="shared" si="239"/>
        <v>0</v>
      </c>
      <c r="BY59" s="22">
        <f t="shared" si="239"/>
        <v>0</v>
      </c>
      <c r="BZ59" s="22">
        <f t="shared" si="239"/>
        <v>0</v>
      </c>
      <c r="CA59" s="22">
        <f t="shared" si="239"/>
        <v>1978</v>
      </c>
      <c r="CB59" s="22">
        <f t="shared" si="239"/>
        <v>14.7</v>
      </c>
      <c r="CC59" s="22">
        <f t="shared" si="239"/>
        <v>2175.8000000000002</v>
      </c>
      <c r="CD59" s="118">
        <f t="shared" si="239"/>
        <v>16.91</v>
      </c>
      <c r="CE59" s="190">
        <f t="shared" si="239"/>
        <v>181</v>
      </c>
      <c r="CF59" s="190">
        <f t="shared" si="239"/>
        <v>1</v>
      </c>
      <c r="CG59" s="190">
        <f t="shared" si="239"/>
        <v>494.5</v>
      </c>
      <c r="CH59" s="190">
        <f t="shared" si="239"/>
        <v>3.68</v>
      </c>
      <c r="CI59" s="190">
        <f t="shared" si="239"/>
        <v>0</v>
      </c>
      <c r="CJ59" s="190">
        <f t="shared" si="239"/>
        <v>0</v>
      </c>
      <c r="CK59" s="190">
        <f t="shared" si="239"/>
        <v>520</v>
      </c>
      <c r="CL59" s="190">
        <f t="shared" si="239"/>
        <v>0</v>
      </c>
      <c r="CM59" s="190">
        <f t="shared" si="239"/>
        <v>0</v>
      </c>
      <c r="CN59" s="190">
        <f t="shared" si="239"/>
        <v>0</v>
      </c>
      <c r="CO59" s="190">
        <f t="shared" si="239"/>
        <v>2085</v>
      </c>
      <c r="CP59" s="190">
        <f t="shared" si="239"/>
        <v>45</v>
      </c>
      <c r="CQ59" s="190">
        <f t="shared" ref="CQ59:DO59" si="240">+CQ57+CQ58</f>
        <v>2080</v>
      </c>
      <c r="CR59" s="190">
        <f t="shared" si="240"/>
        <v>0</v>
      </c>
      <c r="CS59" s="190">
        <f t="shared" si="240"/>
        <v>2080</v>
      </c>
      <c r="CT59" s="190">
        <f t="shared" si="240"/>
        <v>45</v>
      </c>
      <c r="CU59" s="190">
        <f t="shared" si="240"/>
        <v>2080</v>
      </c>
      <c r="CV59" s="190">
        <f t="shared" si="240"/>
        <v>1</v>
      </c>
      <c r="CW59" s="190">
        <f t="shared" si="240"/>
        <v>520</v>
      </c>
      <c r="CX59" s="190">
        <f t="shared" si="240"/>
        <v>0</v>
      </c>
      <c r="CY59" s="190">
        <f t="shared" si="240"/>
        <v>0</v>
      </c>
      <c r="CZ59" s="190">
        <f t="shared" si="240"/>
        <v>0</v>
      </c>
      <c r="DA59" s="190">
        <f t="shared" si="240"/>
        <v>1221</v>
      </c>
      <c r="DB59" s="190">
        <f t="shared" si="240"/>
        <v>1</v>
      </c>
      <c r="DC59" s="190">
        <f t="shared" si="240"/>
        <v>1178.18</v>
      </c>
      <c r="DD59" s="190">
        <f t="shared" si="240"/>
        <v>0</v>
      </c>
      <c r="DE59" s="190">
        <f t="shared" si="240"/>
        <v>42.819999999999993</v>
      </c>
      <c r="DF59" s="190">
        <f t="shared" si="240"/>
        <v>1</v>
      </c>
      <c r="DG59" s="190">
        <f t="shared" si="240"/>
        <v>520</v>
      </c>
      <c r="DH59" s="190">
        <f t="shared" si="240"/>
        <v>0.25</v>
      </c>
      <c r="DI59" s="190">
        <f t="shared" si="240"/>
        <v>477.18</v>
      </c>
      <c r="DJ59" s="190">
        <f t="shared" si="240"/>
        <v>0</v>
      </c>
      <c r="DK59" s="104">
        <f t="shared" si="165"/>
        <v>381.82</v>
      </c>
      <c r="DL59" s="104">
        <f t="shared" si="166"/>
        <v>0</v>
      </c>
      <c r="DM59" s="104">
        <f t="shared" si="2"/>
        <v>381.82</v>
      </c>
      <c r="DN59" s="104">
        <f t="shared" si="3"/>
        <v>0</v>
      </c>
      <c r="DO59" s="22">
        <f t="shared" si="240"/>
        <v>2080</v>
      </c>
      <c r="DP59" s="22">
        <f t="shared" ref="DP59:DS59" si="241">+DP57+DP58</f>
        <v>1</v>
      </c>
      <c r="DQ59" s="22">
        <f t="shared" si="241"/>
        <v>2180</v>
      </c>
      <c r="DR59" s="22">
        <f t="shared" si="241"/>
        <v>0</v>
      </c>
      <c r="DS59" s="22">
        <f t="shared" si="241"/>
        <v>0</v>
      </c>
    </row>
    <row r="60" spans="1:126" ht="18.75">
      <c r="A60" s="13">
        <v>41</v>
      </c>
      <c r="B60" s="13"/>
      <c r="C60" s="14"/>
      <c r="D60" s="15" t="s">
        <v>87</v>
      </c>
      <c r="E60" s="16"/>
      <c r="F60" s="81">
        <v>1708.36</v>
      </c>
      <c r="G60" s="81">
        <v>225.19</v>
      </c>
      <c r="H60" s="81">
        <v>1708.36</v>
      </c>
      <c r="I60" s="17">
        <v>260.19</v>
      </c>
      <c r="J60" s="86">
        <v>1700</v>
      </c>
      <c r="K60" s="87">
        <v>0</v>
      </c>
      <c r="L60" s="87">
        <v>0</v>
      </c>
      <c r="M60" s="87">
        <f>J60+K60+L60</f>
        <v>1700</v>
      </c>
      <c r="N60" s="87">
        <v>0</v>
      </c>
      <c r="O60" s="87">
        <v>0</v>
      </c>
      <c r="P60" s="87">
        <v>0</v>
      </c>
      <c r="Q60" s="87">
        <f>N60+O60+P60</f>
        <v>0</v>
      </c>
      <c r="R60" s="87">
        <f t="shared" si="135"/>
        <v>1700</v>
      </c>
      <c r="S60" s="87">
        <v>260</v>
      </c>
      <c r="V60" s="17">
        <f t="shared" ref="V60" si="242">ROUND(H60*1.0583,2)</f>
        <v>1807.96</v>
      </c>
      <c r="W60" s="17">
        <f t="shared" ref="W60" si="243">ROUND(I60*1.0327,2)</f>
        <v>268.7</v>
      </c>
      <c r="X60" s="109">
        <f t="shared" si="4"/>
        <v>-107.96000000000004</v>
      </c>
      <c r="Y60" s="109">
        <f t="shared" si="5"/>
        <v>-8.6999999999999886</v>
      </c>
      <c r="Z60" s="116">
        <v>1700</v>
      </c>
      <c r="AA60" s="116"/>
      <c r="AB60" s="116">
        <f t="shared" si="6"/>
        <v>1700</v>
      </c>
      <c r="AC60" s="109">
        <f t="shared" si="7"/>
        <v>0</v>
      </c>
      <c r="AD60" s="108">
        <f t="shared" ref="AD60" si="244">IF(X60&gt;0,V60,R60)</f>
        <v>1700</v>
      </c>
      <c r="AE60" s="108">
        <f t="shared" ref="AE60" si="245">IF(Y60&gt;0,W60,S60)</f>
        <v>260</v>
      </c>
      <c r="AF60" s="108">
        <f t="shared" si="8"/>
        <v>234.57</v>
      </c>
      <c r="AG60" s="108">
        <f t="shared" si="9"/>
        <v>425</v>
      </c>
      <c r="AH60" s="108">
        <f t="shared" si="46"/>
        <v>65</v>
      </c>
      <c r="AI60" s="127">
        <f t="shared" si="10"/>
        <v>142</v>
      </c>
      <c r="AJ60" s="108">
        <f t="shared" si="11"/>
        <v>22</v>
      </c>
      <c r="AM60" s="108">
        <f t="shared" si="12"/>
        <v>425</v>
      </c>
      <c r="AN60" s="108">
        <f t="shared" si="13"/>
        <v>63.31</v>
      </c>
      <c r="AQ60" s="108">
        <f t="shared" si="14"/>
        <v>850</v>
      </c>
      <c r="AR60" s="108">
        <f t="shared" si="15"/>
        <v>128.31</v>
      </c>
      <c r="AT60" s="143">
        <v>100</v>
      </c>
      <c r="AU60" s="108">
        <f t="shared" si="0"/>
        <v>425</v>
      </c>
      <c r="AV60" s="108">
        <f t="shared" si="184"/>
        <v>65</v>
      </c>
      <c r="AY60" s="108">
        <f t="shared" si="17"/>
        <v>1417</v>
      </c>
      <c r="AZ60" s="108">
        <f t="shared" si="18"/>
        <v>315.31</v>
      </c>
      <c r="BA60" s="108">
        <f t="shared" si="19"/>
        <v>1732.31</v>
      </c>
      <c r="BB60" s="139">
        <v>1360.05</v>
      </c>
      <c r="BC60" s="139">
        <v>251.48</v>
      </c>
      <c r="BD60" s="139">
        <f t="shared" si="20"/>
        <v>56.950000000000045</v>
      </c>
      <c r="BE60" s="139">
        <f t="shared" si="21"/>
        <v>63.830000000000013</v>
      </c>
      <c r="BF60" s="139">
        <f t="shared" si="22"/>
        <v>272.01</v>
      </c>
      <c r="BG60" s="139">
        <f t="shared" si="23"/>
        <v>50.3</v>
      </c>
      <c r="BH60" s="108">
        <v>107.53</v>
      </c>
      <c r="BI60" s="108">
        <v>0</v>
      </c>
      <c r="BL60" s="108">
        <f t="shared" si="1"/>
        <v>1524.53</v>
      </c>
      <c r="BM60" s="108">
        <f t="shared" si="24"/>
        <v>315.31</v>
      </c>
      <c r="BN60" s="108">
        <f t="shared" si="25"/>
        <v>1839.84</v>
      </c>
      <c r="BO60" s="108">
        <v>1499.9</v>
      </c>
      <c r="BP60" s="127">
        <v>274.45999999999998</v>
      </c>
      <c r="BQ60" s="108">
        <f t="shared" si="26"/>
        <v>24.629999999999882</v>
      </c>
      <c r="BR60" s="108">
        <f t="shared" si="27"/>
        <v>40.850000000000023</v>
      </c>
      <c r="BS60" s="108">
        <f t="shared" si="28"/>
        <v>136.35</v>
      </c>
      <c r="BT60" s="108">
        <f t="shared" si="29"/>
        <v>24.95</v>
      </c>
      <c r="BU60" s="109">
        <v>125</v>
      </c>
      <c r="BV60" s="108">
        <v>0</v>
      </c>
      <c r="BX60" s="108">
        <v>28.1</v>
      </c>
      <c r="CA60" s="108">
        <v>1649.53</v>
      </c>
      <c r="CB60" s="108">
        <v>343.41</v>
      </c>
      <c r="CC60">
        <v>1814.48</v>
      </c>
      <c r="CD60">
        <v>394.92</v>
      </c>
      <c r="CE60" s="189">
        <v>151</v>
      </c>
      <c r="CF60" s="189">
        <v>33</v>
      </c>
      <c r="CG60" s="189">
        <f t="shared" si="31"/>
        <v>412.38</v>
      </c>
      <c r="CH60" s="189">
        <f t="shared" si="32"/>
        <v>85.85</v>
      </c>
      <c r="CI60" s="150"/>
      <c r="CJ60" s="150"/>
      <c r="CK60" s="150">
        <f>610-100-25</f>
        <v>485</v>
      </c>
      <c r="CL60" s="150">
        <f>150-50-5</f>
        <v>95</v>
      </c>
      <c r="CM60" s="150"/>
      <c r="CN60" s="150"/>
      <c r="CO60" s="150">
        <v>1750</v>
      </c>
      <c r="CP60" s="150">
        <f>120+8</f>
        <v>128</v>
      </c>
      <c r="CQ60" s="150">
        <f t="shared" si="33"/>
        <v>1940</v>
      </c>
      <c r="CR60" s="150">
        <f t="shared" si="34"/>
        <v>380</v>
      </c>
      <c r="CS60" s="150">
        <f t="shared" si="35"/>
        <v>1750</v>
      </c>
      <c r="CT60" s="150">
        <f>IF(CP60&lt;CR60,CP60,CR60)+2</f>
        <v>130</v>
      </c>
      <c r="CU60" s="150">
        <f t="shared" si="35"/>
        <v>1750</v>
      </c>
      <c r="CV60" s="150">
        <v>130</v>
      </c>
      <c r="CW60" s="150">
        <f t="shared" si="37"/>
        <v>437.5</v>
      </c>
      <c r="CX60" s="150">
        <f>ROUND(CV60*25%,2)-30.5</f>
        <v>2</v>
      </c>
      <c r="CY60" s="150">
        <v>85</v>
      </c>
      <c r="CZ60" s="150">
        <v>0</v>
      </c>
      <c r="DA60" s="150">
        <f t="shared" si="39"/>
        <v>1158.5</v>
      </c>
      <c r="DB60" s="150">
        <f t="shared" si="40"/>
        <v>130</v>
      </c>
      <c r="DC60" s="150">
        <v>1149.19</v>
      </c>
      <c r="DD60" s="150">
        <v>116.79</v>
      </c>
      <c r="DE60" s="150">
        <f t="shared" si="41"/>
        <v>9.3099999999999454</v>
      </c>
      <c r="DF60" s="150">
        <f t="shared" si="42"/>
        <v>13.209999999999994</v>
      </c>
      <c r="DG60" s="150">
        <f>ROUND(0.25*(MIN(CU60,DO60)),2)</f>
        <v>437.5</v>
      </c>
      <c r="DH60" s="150">
        <f>ROUND(0.25*(MIN(CV60,DP60)),2)</f>
        <v>32.5</v>
      </c>
      <c r="DI60" s="150">
        <f>+DG60-DE60</f>
        <v>428.19000000000005</v>
      </c>
      <c r="DJ60" s="150">
        <f>+DH60-DF60-19.29</f>
        <v>0</v>
      </c>
      <c r="DK60" s="104">
        <f t="shared" si="165"/>
        <v>323.30999999999995</v>
      </c>
      <c r="DL60" s="104">
        <f t="shared" si="166"/>
        <v>0</v>
      </c>
      <c r="DM60" s="104">
        <f t="shared" si="2"/>
        <v>163.30999999999995</v>
      </c>
      <c r="DN60" s="104">
        <f t="shared" si="3"/>
        <v>0</v>
      </c>
      <c r="DO60" s="104">
        <v>1910</v>
      </c>
      <c r="DP60" s="104">
        <v>130</v>
      </c>
      <c r="DQ60" s="104">
        <v>1925</v>
      </c>
      <c r="DR60" s="104">
        <v>300</v>
      </c>
    </row>
    <row r="61" spans="1:126" ht="18.75">
      <c r="A61" s="13">
        <v>42</v>
      </c>
      <c r="B61" s="13"/>
      <c r="C61" s="14"/>
      <c r="D61" s="145" t="s">
        <v>560</v>
      </c>
      <c r="E61" s="16"/>
      <c r="F61" s="81">
        <v>647.14</v>
      </c>
      <c r="G61" s="81">
        <v>0</v>
      </c>
      <c r="H61" s="81">
        <v>793.22</v>
      </c>
      <c r="I61" s="17">
        <v>0</v>
      </c>
      <c r="J61" s="86">
        <v>950</v>
      </c>
      <c r="K61" s="87">
        <v>0</v>
      </c>
      <c r="L61" s="87">
        <v>0</v>
      </c>
      <c r="M61" s="87">
        <f t="shared" ref="M61:M84" si="246">J61+K61+L61</f>
        <v>950</v>
      </c>
      <c r="N61" s="87">
        <v>0</v>
      </c>
      <c r="O61" s="87">
        <v>0</v>
      </c>
      <c r="P61" s="87">
        <v>0</v>
      </c>
      <c r="Q61" s="87">
        <f t="shared" ref="Q61" si="247">N61+O61+P61</f>
        <v>0</v>
      </c>
      <c r="R61" s="87">
        <f t="shared" si="135"/>
        <v>950</v>
      </c>
      <c r="S61" s="87">
        <v>0</v>
      </c>
      <c r="V61" s="17">
        <f t="shared" ref="V61" si="248">ROUND(H61*1.0583,2)</f>
        <v>839.46</v>
      </c>
      <c r="W61" s="17">
        <f t="shared" ref="W61" si="249">ROUND(I61*1.0327,2)</f>
        <v>0</v>
      </c>
      <c r="X61" s="108">
        <f t="shared" si="4"/>
        <v>110.53999999999996</v>
      </c>
      <c r="Y61" s="108">
        <f t="shared" si="5"/>
        <v>0</v>
      </c>
      <c r="Z61" s="108">
        <v>2149.59</v>
      </c>
      <c r="AA61" s="108"/>
      <c r="AB61" s="108">
        <f t="shared" si="6"/>
        <v>2149.59</v>
      </c>
      <c r="AC61" s="109">
        <v>0</v>
      </c>
      <c r="AD61" s="109">
        <v>2149.59</v>
      </c>
      <c r="AE61" s="108">
        <v>0</v>
      </c>
      <c r="AF61" s="108">
        <v>0</v>
      </c>
      <c r="AG61" s="108">
        <v>538</v>
      </c>
      <c r="AH61" s="108">
        <v>0</v>
      </c>
      <c r="AI61" s="127">
        <v>179</v>
      </c>
      <c r="AJ61" s="108">
        <v>0</v>
      </c>
      <c r="AK61" s="143">
        <f>50+25</f>
        <v>75</v>
      </c>
      <c r="AM61" s="108">
        <v>537.4</v>
      </c>
      <c r="AN61" s="108">
        <v>0</v>
      </c>
      <c r="AQ61" s="108">
        <f t="shared" si="14"/>
        <v>1150.4000000000001</v>
      </c>
      <c r="AR61" s="108">
        <v>0</v>
      </c>
      <c r="AU61" s="138">
        <v>297.39999999999998</v>
      </c>
      <c r="AV61" s="108">
        <v>0</v>
      </c>
      <c r="AY61" s="108">
        <f t="shared" si="17"/>
        <v>1626.8000000000002</v>
      </c>
      <c r="AZ61" s="108">
        <f t="shared" si="18"/>
        <v>0</v>
      </c>
      <c r="BA61" s="108">
        <f t="shared" si="19"/>
        <v>1626.8000000000002</v>
      </c>
      <c r="BB61" s="139">
        <v>1611.63</v>
      </c>
      <c r="BD61" s="139">
        <f t="shared" si="20"/>
        <v>15.170000000000073</v>
      </c>
      <c r="BE61" s="139">
        <f t="shared" si="21"/>
        <v>0</v>
      </c>
      <c r="BF61" s="139">
        <f t="shared" si="22"/>
        <v>322.33</v>
      </c>
      <c r="BG61" s="139">
        <f t="shared" si="23"/>
        <v>0</v>
      </c>
      <c r="BH61" s="143">
        <v>103.58</v>
      </c>
      <c r="BI61" s="108">
        <v>0</v>
      </c>
      <c r="BL61" s="108">
        <f t="shared" si="1"/>
        <v>1730.38</v>
      </c>
      <c r="BM61" s="108">
        <f t="shared" si="24"/>
        <v>0</v>
      </c>
      <c r="BN61" s="108">
        <f t="shared" si="25"/>
        <v>1730.38</v>
      </c>
      <c r="BO61" s="108">
        <v>1599.46</v>
      </c>
      <c r="BP61" s="127"/>
      <c r="BQ61" s="108">
        <f t="shared" si="26"/>
        <v>130.92000000000007</v>
      </c>
      <c r="BR61" s="108">
        <f t="shared" si="27"/>
        <v>0</v>
      </c>
      <c r="BS61" s="108">
        <f t="shared" si="28"/>
        <v>145.41</v>
      </c>
      <c r="BT61" s="108">
        <f t="shared" si="29"/>
        <v>0</v>
      </c>
      <c r="BU61" s="109">
        <v>15</v>
      </c>
      <c r="BV61" s="108">
        <f t="shared" si="128"/>
        <v>0</v>
      </c>
      <c r="BW61" s="109">
        <v>450</v>
      </c>
      <c r="CA61" s="108">
        <f>2195.38+25.78</f>
        <v>2221.1600000000003</v>
      </c>
      <c r="CB61" s="108">
        <v>0</v>
      </c>
      <c r="CC61">
        <v>2414.92</v>
      </c>
      <c r="CD61">
        <v>0</v>
      </c>
      <c r="CE61" s="189">
        <v>201</v>
      </c>
      <c r="CF61" s="189">
        <v>0</v>
      </c>
      <c r="CG61" s="189">
        <f t="shared" si="31"/>
        <v>555.29</v>
      </c>
      <c r="CH61" s="189">
        <f t="shared" si="32"/>
        <v>0</v>
      </c>
      <c r="CI61" s="150"/>
      <c r="CJ61" s="150"/>
      <c r="CK61" s="150">
        <f>150+205+215</f>
        <v>570</v>
      </c>
      <c r="CL61" s="150"/>
      <c r="CM61" s="150"/>
      <c r="CN61" s="150"/>
      <c r="CO61" s="150">
        <v>2000</v>
      </c>
      <c r="CP61" s="150"/>
      <c r="CQ61" s="150">
        <f t="shared" si="33"/>
        <v>2280</v>
      </c>
      <c r="CR61" s="150">
        <f t="shared" si="34"/>
        <v>0</v>
      </c>
      <c r="CS61" s="150">
        <f t="shared" si="35"/>
        <v>2000</v>
      </c>
      <c r="CT61" s="150">
        <f t="shared" si="36"/>
        <v>0</v>
      </c>
      <c r="CU61" s="150">
        <f>IF(CQ61&lt;CS61,CQ61,CS61)+584</f>
        <v>2584</v>
      </c>
      <c r="CV61" s="150">
        <v>0</v>
      </c>
      <c r="CW61" s="150">
        <f>ROUND(CU61*25%,2)-146</f>
        <v>500</v>
      </c>
      <c r="CX61" s="150">
        <f t="shared" si="38"/>
        <v>0</v>
      </c>
      <c r="CY61" s="150"/>
      <c r="CZ61" s="150"/>
      <c r="DA61" s="150">
        <f t="shared" si="39"/>
        <v>1271</v>
      </c>
      <c r="DB61" s="150">
        <f t="shared" si="40"/>
        <v>0</v>
      </c>
      <c r="DC61" s="150">
        <v>1274.93</v>
      </c>
      <c r="DD61" s="150">
        <v>0</v>
      </c>
      <c r="DE61" s="150">
        <f t="shared" si="41"/>
        <v>-3.9300000000000637</v>
      </c>
      <c r="DF61" s="150">
        <f t="shared" si="42"/>
        <v>0</v>
      </c>
      <c r="DG61" s="150">
        <f>ROUND(0.25*(MIN(CU61,DO61)),2)</f>
        <v>646</v>
      </c>
      <c r="DH61" s="150">
        <f>ROUND(0.25*(MIN(CV61,DP61)),2)</f>
        <v>0</v>
      </c>
      <c r="DI61" s="150">
        <f>+DG61-DE61</f>
        <v>649.93000000000006</v>
      </c>
      <c r="DJ61" s="150">
        <f>+DH61-DF61</f>
        <v>0</v>
      </c>
      <c r="DK61" s="104">
        <f t="shared" si="165"/>
        <v>871.06999999999994</v>
      </c>
      <c r="DL61" s="104">
        <f t="shared" si="166"/>
        <v>0</v>
      </c>
      <c r="DM61" s="104">
        <f t="shared" si="2"/>
        <v>663.06999999999994</v>
      </c>
      <c r="DN61" s="104">
        <f t="shared" si="3"/>
        <v>0</v>
      </c>
      <c r="DO61" s="104">
        <f>208+2584</f>
        <v>2792</v>
      </c>
      <c r="DP61" s="104">
        <v>0</v>
      </c>
      <c r="DQ61" s="178">
        <f>225+2800</f>
        <v>3025</v>
      </c>
      <c r="DR61" s="104">
        <v>0</v>
      </c>
    </row>
    <row r="62" spans="1:126" ht="18.75">
      <c r="A62" s="18"/>
      <c r="B62" s="18" t="s">
        <v>88</v>
      </c>
      <c r="C62" s="19" t="s">
        <v>89</v>
      </c>
      <c r="D62" s="20" t="s">
        <v>87</v>
      </c>
      <c r="E62" s="21" t="s">
        <v>90</v>
      </c>
      <c r="F62" s="22">
        <v>3412.94</v>
      </c>
      <c r="G62" s="22">
        <v>225.19</v>
      </c>
      <c r="H62" s="22">
        <v>3745.32</v>
      </c>
      <c r="I62" s="22">
        <v>260.19</v>
      </c>
      <c r="J62" s="88" t="e">
        <f>+J60+J61+#REF!+#REF!</f>
        <v>#REF!</v>
      </c>
      <c r="K62" s="88" t="e">
        <f>+K60+K61+#REF!+#REF!</f>
        <v>#REF!</v>
      </c>
      <c r="L62" s="88" t="e">
        <f>+L60+L61+#REF!+#REF!</f>
        <v>#REF!</v>
      </c>
      <c r="M62" s="88" t="e">
        <f>+M60+M61+#REF!+#REF!</f>
        <v>#REF!</v>
      </c>
      <c r="N62" s="88" t="e">
        <f>+N60+N61+#REF!+#REF!</f>
        <v>#REF!</v>
      </c>
      <c r="O62" s="88" t="e">
        <f>+O60+O61+#REF!+#REF!</f>
        <v>#REF!</v>
      </c>
      <c r="P62" s="88" t="e">
        <f>+P60+P61+#REF!+#REF!</f>
        <v>#REF!</v>
      </c>
      <c r="Q62" s="88" t="e">
        <f>+Q60+Q61+#REF!+#REF!</f>
        <v>#REF!</v>
      </c>
      <c r="R62" s="88" t="e">
        <f>+R60+R61+#REF!+#REF!</f>
        <v>#REF!</v>
      </c>
      <c r="S62" s="88" t="e">
        <f>+S60+S61+#REF!+#REF!</f>
        <v>#REF!</v>
      </c>
      <c r="T62" s="88" t="e">
        <f>+T60+T61+#REF!+#REF!</f>
        <v>#REF!</v>
      </c>
      <c r="U62" s="88" t="e">
        <f>+U60+U61+#REF!+#REF!</f>
        <v>#REF!</v>
      </c>
      <c r="V62" s="88" t="e">
        <f>+V60+V61+#REF!+#REF!</f>
        <v>#REF!</v>
      </c>
      <c r="W62" s="88" t="e">
        <f>+W60+W61+#REF!+#REF!</f>
        <v>#REF!</v>
      </c>
      <c r="X62" s="88" t="e">
        <f>+X60+X61+#REF!+#REF!</f>
        <v>#REF!</v>
      </c>
      <c r="Y62" s="88" t="e">
        <f>+Y60+Y61+#REF!+#REF!</f>
        <v>#REF!</v>
      </c>
      <c r="Z62" s="88" t="e">
        <f>+Z60+Z61+#REF!+#REF!</f>
        <v>#REF!</v>
      </c>
      <c r="AA62" s="88" t="e">
        <f>+AA60+AA61+#REF!+#REF!</f>
        <v>#REF!</v>
      </c>
      <c r="AB62" s="22" t="e">
        <f t="shared" si="6"/>
        <v>#REF!</v>
      </c>
      <c r="AC62" s="109">
        <v>0</v>
      </c>
      <c r="AD62" s="22">
        <f t="shared" ref="AD62" si="250">+AD60+AD61</f>
        <v>3849.59</v>
      </c>
      <c r="AE62" s="22">
        <f t="shared" ref="AE62" si="251">+AE60+AE61</f>
        <v>260</v>
      </c>
      <c r="AF62" s="22">
        <f t="shared" ref="AF62" si="252">+AF60+AF61</f>
        <v>234.57</v>
      </c>
      <c r="AG62" s="22">
        <f t="shared" ref="AG62" si="253">+AG60+AG61</f>
        <v>963</v>
      </c>
      <c r="AH62" s="22">
        <f t="shared" ref="AH62" si="254">+AH60+AH61</f>
        <v>65</v>
      </c>
      <c r="AI62" s="22">
        <f t="shared" ref="AI62" si="255">+AI60+AI61</f>
        <v>321</v>
      </c>
      <c r="AJ62" s="22">
        <f t="shared" ref="AJ62" si="256">+AJ60+AJ61</f>
        <v>22</v>
      </c>
      <c r="AK62" s="22">
        <f t="shared" ref="AK62" si="257">+AK60+AK61</f>
        <v>75</v>
      </c>
      <c r="AL62" s="22">
        <f t="shared" ref="AL62" si="258">+AL60+AL61</f>
        <v>0</v>
      </c>
      <c r="AM62" s="22">
        <f t="shared" ref="AM62" si="259">+AM60+AM61</f>
        <v>962.4</v>
      </c>
      <c r="AN62" s="22">
        <f t="shared" ref="AN62" si="260">+AN60+AN61</f>
        <v>63.31</v>
      </c>
      <c r="AO62" s="22">
        <f t="shared" ref="AO62" si="261">+AO60+AO61</f>
        <v>0</v>
      </c>
      <c r="AP62" s="22">
        <f t="shared" ref="AP62" si="262">+AP60+AP61</f>
        <v>0</v>
      </c>
      <c r="AQ62" s="22">
        <f t="shared" ref="AQ62" si="263">+AQ60+AQ61</f>
        <v>2000.4</v>
      </c>
      <c r="AR62" s="22">
        <f t="shared" ref="AR62" si="264">+AR60+AR61</f>
        <v>128.31</v>
      </c>
      <c r="AS62" s="22">
        <f t="shared" ref="AS62" si="265">+AS60+AS61</f>
        <v>0</v>
      </c>
      <c r="AT62" s="22">
        <f t="shared" ref="AT62" si="266">+AT60+AT61</f>
        <v>100</v>
      </c>
      <c r="AU62" s="22">
        <f t="shared" ref="AU62" si="267">+AU60+AU61</f>
        <v>722.4</v>
      </c>
      <c r="AV62" s="22">
        <f t="shared" ref="AV62" si="268">+AV60+AV61</f>
        <v>65</v>
      </c>
      <c r="AW62" s="22">
        <f t="shared" ref="AW62" si="269">+AW60+AW61</f>
        <v>0</v>
      </c>
      <c r="AX62" s="22">
        <f t="shared" ref="AX62" si="270">+AX60+AX61</f>
        <v>0</v>
      </c>
      <c r="AY62" s="22">
        <f t="shared" ref="AY62" si="271">+AY60+AY61</f>
        <v>3043.8</v>
      </c>
      <c r="AZ62" s="22">
        <f t="shared" ref="AZ62" si="272">+AZ60+AZ61</f>
        <v>315.31</v>
      </c>
      <c r="BA62" s="22">
        <f t="shared" ref="BA62" si="273">+BA60+BA61</f>
        <v>3359.11</v>
      </c>
      <c r="BB62" s="22">
        <f t="shared" ref="BB62" si="274">+BB60+BB61</f>
        <v>2971.6800000000003</v>
      </c>
      <c r="BC62" s="22">
        <f t="shared" ref="BC62" si="275">+BC60+BC61</f>
        <v>251.48</v>
      </c>
      <c r="BD62" s="22">
        <f t="shared" ref="BD62" si="276">+BD60+BD61</f>
        <v>72.120000000000118</v>
      </c>
      <c r="BE62" s="22">
        <f t="shared" ref="BE62" si="277">+BE60+BE61</f>
        <v>63.830000000000013</v>
      </c>
      <c r="BF62" s="22">
        <f t="shared" ref="BF62" si="278">+BF60+BF61</f>
        <v>594.33999999999992</v>
      </c>
      <c r="BG62" s="118">
        <f t="shared" ref="BG62:DH62" si="279">+BG60+BG61</f>
        <v>50.3</v>
      </c>
      <c r="BH62" s="118">
        <f t="shared" si="279"/>
        <v>211.11</v>
      </c>
      <c r="BI62" s="118">
        <f t="shared" si="279"/>
        <v>0</v>
      </c>
      <c r="BJ62" s="118">
        <f t="shared" si="279"/>
        <v>0</v>
      </c>
      <c r="BK62" s="118">
        <f t="shared" si="279"/>
        <v>0</v>
      </c>
      <c r="BL62" s="118">
        <f t="shared" si="279"/>
        <v>3254.91</v>
      </c>
      <c r="BM62" s="118">
        <f t="shared" si="279"/>
        <v>315.31</v>
      </c>
      <c r="BN62" s="118">
        <f t="shared" si="279"/>
        <v>3570.2200000000003</v>
      </c>
      <c r="BO62" s="118">
        <f t="shared" si="279"/>
        <v>3099.36</v>
      </c>
      <c r="BP62" s="118">
        <f t="shared" si="279"/>
        <v>274.45999999999998</v>
      </c>
      <c r="BQ62" s="22">
        <f t="shared" si="279"/>
        <v>155.54999999999995</v>
      </c>
      <c r="BR62" s="22">
        <f t="shared" si="279"/>
        <v>40.850000000000023</v>
      </c>
      <c r="BS62" s="22">
        <f t="shared" si="279"/>
        <v>281.76</v>
      </c>
      <c r="BT62" s="22">
        <f t="shared" si="279"/>
        <v>24.95</v>
      </c>
      <c r="BU62" s="22">
        <f t="shared" si="279"/>
        <v>140</v>
      </c>
      <c r="BV62" s="22">
        <f t="shared" si="279"/>
        <v>0</v>
      </c>
      <c r="BW62" s="22">
        <f t="shared" si="279"/>
        <v>450</v>
      </c>
      <c r="BX62" s="22">
        <f t="shared" si="279"/>
        <v>28.1</v>
      </c>
      <c r="BY62" s="22">
        <f t="shared" si="279"/>
        <v>0</v>
      </c>
      <c r="BZ62" s="22">
        <f t="shared" si="279"/>
        <v>0</v>
      </c>
      <c r="CA62" s="22">
        <f t="shared" si="279"/>
        <v>3870.6900000000005</v>
      </c>
      <c r="CB62" s="22">
        <f t="shared" si="279"/>
        <v>343.41</v>
      </c>
      <c r="CC62" s="22">
        <f t="shared" si="279"/>
        <v>4229.3999999999996</v>
      </c>
      <c r="CD62" s="118">
        <f t="shared" si="279"/>
        <v>394.92</v>
      </c>
      <c r="CE62" s="190">
        <f t="shared" si="279"/>
        <v>352</v>
      </c>
      <c r="CF62" s="190">
        <f t="shared" si="279"/>
        <v>33</v>
      </c>
      <c r="CG62" s="190">
        <f t="shared" si="279"/>
        <v>967.67</v>
      </c>
      <c r="CH62" s="190">
        <f t="shared" si="279"/>
        <v>85.85</v>
      </c>
      <c r="CI62" s="190">
        <f t="shared" si="279"/>
        <v>0</v>
      </c>
      <c r="CJ62" s="190">
        <f t="shared" si="279"/>
        <v>0</v>
      </c>
      <c r="CK62" s="190">
        <f t="shared" si="279"/>
        <v>1055</v>
      </c>
      <c r="CL62" s="190">
        <f t="shared" si="279"/>
        <v>95</v>
      </c>
      <c r="CM62" s="190">
        <f t="shared" si="279"/>
        <v>0</v>
      </c>
      <c r="CN62" s="190">
        <f t="shared" si="279"/>
        <v>0</v>
      </c>
      <c r="CO62" s="190">
        <f t="shared" si="279"/>
        <v>3750</v>
      </c>
      <c r="CP62" s="190">
        <f t="shared" si="279"/>
        <v>128</v>
      </c>
      <c r="CQ62" s="190">
        <f t="shared" si="279"/>
        <v>4220</v>
      </c>
      <c r="CR62" s="190">
        <f t="shared" si="279"/>
        <v>380</v>
      </c>
      <c r="CS62" s="190">
        <f t="shared" si="279"/>
        <v>3750</v>
      </c>
      <c r="CT62" s="190">
        <f t="shared" si="279"/>
        <v>130</v>
      </c>
      <c r="CU62" s="190">
        <f t="shared" si="279"/>
        <v>4334</v>
      </c>
      <c r="CV62" s="190">
        <f t="shared" si="279"/>
        <v>130</v>
      </c>
      <c r="CW62" s="190">
        <f t="shared" si="279"/>
        <v>937.5</v>
      </c>
      <c r="CX62" s="190">
        <f t="shared" si="279"/>
        <v>2</v>
      </c>
      <c r="CY62" s="190">
        <f t="shared" si="279"/>
        <v>85</v>
      </c>
      <c r="CZ62" s="190">
        <f t="shared" si="279"/>
        <v>0</v>
      </c>
      <c r="DA62" s="190">
        <f t="shared" si="279"/>
        <v>2429.5</v>
      </c>
      <c r="DB62" s="190">
        <f t="shared" si="279"/>
        <v>130</v>
      </c>
      <c r="DC62" s="190">
        <f t="shared" si="279"/>
        <v>2424.12</v>
      </c>
      <c r="DD62" s="190">
        <f t="shared" si="279"/>
        <v>116.79</v>
      </c>
      <c r="DE62" s="190">
        <f t="shared" si="279"/>
        <v>5.3799999999998818</v>
      </c>
      <c r="DF62" s="190">
        <f t="shared" si="279"/>
        <v>13.209999999999994</v>
      </c>
      <c r="DG62" s="190">
        <f t="shared" si="279"/>
        <v>1083.5</v>
      </c>
      <c r="DH62" s="190">
        <f t="shared" si="279"/>
        <v>32.5</v>
      </c>
      <c r="DI62" s="190">
        <f t="shared" ref="DI62:DP62" si="280">+DI60+DI61</f>
        <v>1078.1200000000001</v>
      </c>
      <c r="DJ62" s="190">
        <f t="shared" si="280"/>
        <v>0</v>
      </c>
      <c r="DK62" s="104">
        <f t="shared" si="165"/>
        <v>1194.3799999999999</v>
      </c>
      <c r="DL62" s="104">
        <f t="shared" si="166"/>
        <v>0</v>
      </c>
      <c r="DM62" s="104">
        <f t="shared" si="2"/>
        <v>826.37999999999988</v>
      </c>
      <c r="DN62" s="104">
        <f t="shared" si="3"/>
        <v>0</v>
      </c>
      <c r="DO62" s="22">
        <f t="shared" si="280"/>
        <v>4702</v>
      </c>
      <c r="DP62" s="22">
        <f t="shared" si="280"/>
        <v>130</v>
      </c>
      <c r="DQ62" s="22">
        <f t="shared" ref="DQ62:DT62" si="281">+DQ60+DQ61</f>
        <v>4950</v>
      </c>
      <c r="DR62" s="22">
        <f t="shared" si="281"/>
        <v>300</v>
      </c>
      <c r="DS62" s="22">
        <f t="shared" si="281"/>
        <v>0</v>
      </c>
      <c r="DT62" s="22">
        <f t="shared" si="281"/>
        <v>0</v>
      </c>
    </row>
    <row r="63" spans="1:126" ht="18.75">
      <c r="A63" s="13">
        <v>45</v>
      </c>
      <c r="B63" s="13"/>
      <c r="C63" s="14"/>
      <c r="D63" s="15" t="s">
        <v>91</v>
      </c>
      <c r="E63" s="16"/>
      <c r="F63" s="81">
        <v>1160</v>
      </c>
      <c r="G63" s="81">
        <v>216.04999999999998</v>
      </c>
      <c r="H63" s="81">
        <v>1160</v>
      </c>
      <c r="I63" s="17">
        <v>216.04999999999998</v>
      </c>
      <c r="J63" s="86">
        <v>1290</v>
      </c>
      <c r="K63" s="87">
        <v>0</v>
      </c>
      <c r="L63" s="87">
        <v>0</v>
      </c>
      <c r="M63" s="87">
        <f t="shared" si="246"/>
        <v>1290</v>
      </c>
      <c r="N63" s="87">
        <v>0</v>
      </c>
      <c r="O63" s="87">
        <v>0</v>
      </c>
      <c r="P63" s="87">
        <v>0</v>
      </c>
      <c r="Q63" s="87">
        <f t="shared" ref="Q63:Q64" si="282">N63+O63+P63</f>
        <v>0</v>
      </c>
      <c r="R63" s="87">
        <f t="shared" si="135"/>
        <v>1290</v>
      </c>
      <c r="S63" s="87">
        <v>137</v>
      </c>
      <c r="V63" s="17">
        <f t="shared" ref="V63" si="283">ROUND(H63*1.0583,2)</f>
        <v>1227.6300000000001</v>
      </c>
      <c r="W63" s="17">
        <f t="shared" ref="W63" si="284">ROUND(I63*1.0327,2)</f>
        <v>223.11</v>
      </c>
      <c r="X63" s="108">
        <f t="shared" si="4"/>
        <v>62.369999999999891</v>
      </c>
      <c r="Y63" s="109">
        <f t="shared" si="5"/>
        <v>-86.110000000000014</v>
      </c>
      <c r="Z63" s="116">
        <v>1227.6300000000001</v>
      </c>
      <c r="AA63" s="116"/>
      <c r="AB63" s="116">
        <f t="shared" si="6"/>
        <v>1227.6300000000001</v>
      </c>
      <c r="AC63" s="109">
        <f t="shared" si="7"/>
        <v>0</v>
      </c>
      <c r="AD63" s="108">
        <f t="shared" ref="AD63" si="285">IF(X63&gt;0,V63,R63)</f>
        <v>1227.6300000000001</v>
      </c>
      <c r="AE63" s="108">
        <f t="shared" ref="AE63" si="286">IF(Y63&gt;0,W63,S63)</f>
        <v>137</v>
      </c>
      <c r="AF63" s="108">
        <f t="shared" si="8"/>
        <v>123.6</v>
      </c>
      <c r="AG63" s="108">
        <f t="shared" si="9"/>
        <v>307</v>
      </c>
      <c r="AH63" s="108">
        <f t="shared" si="46"/>
        <v>34</v>
      </c>
      <c r="AI63" s="127">
        <f t="shared" si="10"/>
        <v>102</v>
      </c>
      <c r="AJ63" s="108">
        <f t="shared" si="11"/>
        <v>11</v>
      </c>
      <c r="AM63" s="108">
        <f t="shared" si="12"/>
        <v>306.91000000000003</v>
      </c>
      <c r="AN63" s="108">
        <f t="shared" si="13"/>
        <v>33.36</v>
      </c>
      <c r="AQ63" s="108">
        <f t="shared" si="14"/>
        <v>613.91000000000008</v>
      </c>
      <c r="AR63" s="108">
        <f t="shared" si="15"/>
        <v>67.36</v>
      </c>
      <c r="AU63" s="108">
        <f t="shared" si="0"/>
        <v>306.91000000000003</v>
      </c>
      <c r="AV63" s="108">
        <f t="shared" si="184"/>
        <v>34.25</v>
      </c>
      <c r="AY63" s="108">
        <f t="shared" si="17"/>
        <v>1022.8200000000002</v>
      </c>
      <c r="AZ63" s="108">
        <f t="shared" si="18"/>
        <v>112.61</v>
      </c>
      <c r="BA63" s="108">
        <f t="shared" si="19"/>
        <v>1135.43</v>
      </c>
      <c r="BB63" s="139">
        <v>998.82</v>
      </c>
      <c r="BC63" s="139">
        <v>91.18</v>
      </c>
      <c r="BD63" s="139">
        <f t="shared" si="20"/>
        <v>24.000000000000114</v>
      </c>
      <c r="BE63" s="139">
        <f t="shared" si="21"/>
        <v>21.429999999999993</v>
      </c>
      <c r="BF63" s="139">
        <f t="shared" si="22"/>
        <v>199.76</v>
      </c>
      <c r="BG63" s="139">
        <f t="shared" si="23"/>
        <v>18.239999999999998</v>
      </c>
      <c r="BH63" s="108">
        <v>87.88</v>
      </c>
      <c r="BI63" s="108">
        <v>0</v>
      </c>
      <c r="BK63" s="108">
        <v>25.21</v>
      </c>
      <c r="BL63" s="108">
        <f t="shared" si="1"/>
        <v>1110.7000000000003</v>
      </c>
      <c r="BM63" s="108">
        <f t="shared" si="24"/>
        <v>137.82</v>
      </c>
      <c r="BN63" s="108">
        <f t="shared" si="25"/>
        <v>1248.5200000000002</v>
      </c>
      <c r="BO63" s="108">
        <v>1073.8900000000001</v>
      </c>
      <c r="BP63" s="127">
        <v>113.26</v>
      </c>
      <c r="BQ63" s="108">
        <f t="shared" si="26"/>
        <v>36.810000000000173</v>
      </c>
      <c r="BR63" s="108">
        <f t="shared" si="27"/>
        <v>24.559999999999988</v>
      </c>
      <c r="BS63" s="108">
        <f t="shared" si="28"/>
        <v>97.63</v>
      </c>
      <c r="BT63" s="108">
        <f t="shared" si="29"/>
        <v>10.3</v>
      </c>
      <c r="BU63" s="108">
        <v>60.82</v>
      </c>
      <c r="BV63" s="108">
        <v>0</v>
      </c>
      <c r="CA63" s="108">
        <v>1171.5200000000002</v>
      </c>
      <c r="CB63" s="108">
        <v>137.82</v>
      </c>
      <c r="CC63">
        <v>1288.67</v>
      </c>
      <c r="CD63">
        <v>158.49</v>
      </c>
      <c r="CE63" s="189">
        <v>107</v>
      </c>
      <c r="CF63" s="189">
        <v>13</v>
      </c>
      <c r="CG63" s="189">
        <f t="shared" si="31"/>
        <v>292.88</v>
      </c>
      <c r="CH63" s="189">
        <f t="shared" si="32"/>
        <v>34.46</v>
      </c>
      <c r="CI63" s="150"/>
      <c r="CJ63" s="150"/>
      <c r="CK63" s="150">
        <v>300</v>
      </c>
      <c r="CL63" s="150">
        <f>60-20</f>
        <v>40</v>
      </c>
      <c r="CM63" s="150"/>
      <c r="CN63" s="150"/>
      <c r="CO63" s="150">
        <v>1320</v>
      </c>
      <c r="CP63" s="150">
        <v>182</v>
      </c>
      <c r="CQ63" s="150">
        <f t="shared" si="33"/>
        <v>1200</v>
      </c>
      <c r="CR63" s="150">
        <f t="shared" si="34"/>
        <v>160</v>
      </c>
      <c r="CS63" s="150">
        <f t="shared" si="35"/>
        <v>1200</v>
      </c>
      <c r="CT63" s="150">
        <f t="shared" si="36"/>
        <v>160</v>
      </c>
      <c r="CU63" s="150">
        <f t="shared" ref="CU63:CU64" si="287">IF(CQ63&lt;CS63,CQ63,CS63)</f>
        <v>1200</v>
      </c>
      <c r="CV63" s="150">
        <f t="shared" ref="CV63:CV64" si="288">IF(CR63&lt;CT63,CR63,CT63)</f>
        <v>160</v>
      </c>
      <c r="CW63" s="150">
        <f t="shared" si="37"/>
        <v>300</v>
      </c>
      <c r="CX63" s="150">
        <f>ROUND(CV63*25%,2)-10</f>
        <v>30</v>
      </c>
      <c r="CY63" s="150"/>
      <c r="CZ63" s="150"/>
      <c r="DA63" s="150">
        <f t="shared" si="39"/>
        <v>707</v>
      </c>
      <c r="DB63" s="150">
        <f t="shared" si="40"/>
        <v>83</v>
      </c>
      <c r="DC63" s="150">
        <v>740.14</v>
      </c>
      <c r="DD63" s="150">
        <v>81.61</v>
      </c>
      <c r="DE63" s="150">
        <f t="shared" si="41"/>
        <v>-33.139999999999986</v>
      </c>
      <c r="DF63" s="150">
        <f t="shared" si="42"/>
        <v>1.3900000000000006</v>
      </c>
      <c r="DG63" s="150">
        <f>ROUND(0.25*(MIN(CU63,DO63)),2)</f>
        <v>300</v>
      </c>
      <c r="DH63" s="150">
        <f>ROUND(0.25*(MIN(CV63,DP63)),2)</f>
        <v>40</v>
      </c>
      <c r="DI63" s="150">
        <f>+DG63-DE63</f>
        <v>333.14</v>
      </c>
      <c r="DJ63" s="150">
        <f>+DH63-DF63+38.39</f>
        <v>77</v>
      </c>
      <c r="DK63" s="104">
        <f t="shared" si="165"/>
        <v>214.86</v>
      </c>
      <c r="DL63" s="104">
        <f t="shared" si="166"/>
        <v>0</v>
      </c>
      <c r="DM63" s="104">
        <f t="shared" si="2"/>
        <v>159.86000000000001</v>
      </c>
      <c r="DN63" s="104">
        <f t="shared" si="3"/>
        <v>0</v>
      </c>
      <c r="DO63" s="104">
        <v>1255</v>
      </c>
      <c r="DP63" s="104">
        <v>160</v>
      </c>
      <c r="DQ63" s="104">
        <v>1300</v>
      </c>
      <c r="DR63" s="104">
        <v>171</v>
      </c>
    </row>
    <row r="64" spans="1:126" ht="18.75">
      <c r="A64" s="13">
        <v>46</v>
      </c>
      <c r="B64" s="13"/>
      <c r="C64" s="14"/>
      <c r="D64" s="15" t="s">
        <v>92</v>
      </c>
      <c r="E64" s="16"/>
      <c r="F64" s="81">
        <v>803.35000000000014</v>
      </c>
      <c r="G64" s="81">
        <v>0</v>
      </c>
      <c r="H64" s="81">
        <v>1104.18</v>
      </c>
      <c r="I64" s="17">
        <v>0</v>
      </c>
      <c r="J64" s="86">
        <v>880.3</v>
      </c>
      <c r="K64" s="87">
        <v>0</v>
      </c>
      <c r="L64" s="87">
        <v>0</v>
      </c>
      <c r="M64" s="87">
        <f t="shared" si="246"/>
        <v>880.3</v>
      </c>
      <c r="N64" s="87">
        <v>295.42</v>
      </c>
      <c r="O64" s="87">
        <v>0</v>
      </c>
      <c r="P64" s="87">
        <v>0</v>
      </c>
      <c r="Q64" s="87">
        <f t="shared" si="282"/>
        <v>295.42</v>
      </c>
      <c r="R64" s="87">
        <f t="shared" si="135"/>
        <v>1175.72</v>
      </c>
      <c r="S64" s="87">
        <v>0</v>
      </c>
      <c r="V64" s="17">
        <f t="shared" ref="V64" si="289">ROUND(H64*1.0583,2)</f>
        <v>1168.55</v>
      </c>
      <c r="W64" s="17">
        <f t="shared" ref="W64" si="290">ROUND(I64*1.0327,2)</f>
        <v>0</v>
      </c>
      <c r="X64" s="108">
        <f t="shared" si="4"/>
        <v>7.1700000000000728</v>
      </c>
      <c r="Y64" s="108">
        <f t="shared" si="5"/>
        <v>0</v>
      </c>
      <c r="Z64" s="116">
        <v>880.3</v>
      </c>
      <c r="AA64" s="116">
        <v>288.25</v>
      </c>
      <c r="AB64" s="116">
        <f t="shared" si="6"/>
        <v>1168.55</v>
      </c>
      <c r="AC64" s="109">
        <f t="shared" si="7"/>
        <v>0</v>
      </c>
      <c r="AD64" s="108">
        <f t="shared" ref="AD64" si="291">IF(X64&gt;0,V64,R64)</f>
        <v>1168.55</v>
      </c>
      <c r="AE64" s="108">
        <f t="shared" ref="AE64" si="292">IF(Y64&gt;0,W64,S64)</f>
        <v>0</v>
      </c>
      <c r="AF64" s="108">
        <f t="shared" si="8"/>
        <v>0</v>
      </c>
      <c r="AG64" s="108">
        <f t="shared" si="9"/>
        <v>292</v>
      </c>
      <c r="AH64" s="108">
        <f t="shared" si="46"/>
        <v>0</v>
      </c>
      <c r="AI64" s="127">
        <f t="shared" si="10"/>
        <v>97</v>
      </c>
      <c r="AJ64" s="108">
        <f t="shared" si="11"/>
        <v>0</v>
      </c>
      <c r="AM64" s="108">
        <f t="shared" si="12"/>
        <v>292.14</v>
      </c>
      <c r="AN64" s="108">
        <f t="shared" si="13"/>
        <v>0</v>
      </c>
      <c r="AQ64" s="108">
        <f t="shared" si="14"/>
        <v>584.14</v>
      </c>
      <c r="AR64" s="108">
        <f t="shared" si="15"/>
        <v>0</v>
      </c>
      <c r="AU64" s="108">
        <f t="shared" si="0"/>
        <v>292.14</v>
      </c>
      <c r="AV64" s="108">
        <f t="shared" si="184"/>
        <v>0</v>
      </c>
      <c r="AY64" s="108">
        <f t="shared" si="17"/>
        <v>973.28</v>
      </c>
      <c r="AZ64" s="108">
        <f t="shared" si="18"/>
        <v>0</v>
      </c>
      <c r="BA64" s="108">
        <f t="shared" si="19"/>
        <v>973.28</v>
      </c>
      <c r="BB64" s="139">
        <v>782.56</v>
      </c>
      <c r="BD64" s="139">
        <f t="shared" si="20"/>
        <v>190.72000000000003</v>
      </c>
      <c r="BE64" s="139">
        <f t="shared" si="21"/>
        <v>0</v>
      </c>
      <c r="BF64" s="139">
        <f t="shared" si="22"/>
        <v>156.51</v>
      </c>
      <c r="BG64" s="139">
        <f t="shared" si="23"/>
        <v>0</v>
      </c>
      <c r="BH64" s="108">
        <v>0</v>
      </c>
      <c r="BI64" s="108">
        <v>0</v>
      </c>
      <c r="BL64" s="108">
        <f t="shared" si="1"/>
        <v>973.28</v>
      </c>
      <c r="BM64" s="108">
        <f t="shared" si="24"/>
        <v>0</v>
      </c>
      <c r="BN64" s="108">
        <f t="shared" si="25"/>
        <v>973.28</v>
      </c>
      <c r="BO64" s="108">
        <v>957.95</v>
      </c>
      <c r="BP64" s="127"/>
      <c r="BQ64" s="108">
        <f t="shared" si="26"/>
        <v>15.329999999999927</v>
      </c>
      <c r="BR64" s="108">
        <f t="shared" si="27"/>
        <v>0</v>
      </c>
      <c r="BS64" s="108">
        <f t="shared" si="28"/>
        <v>87.09</v>
      </c>
      <c r="BT64" s="108">
        <f t="shared" si="29"/>
        <v>0</v>
      </c>
      <c r="BU64" s="108">
        <v>71.760000000000005</v>
      </c>
      <c r="BV64" s="108">
        <f t="shared" si="128"/>
        <v>0</v>
      </c>
      <c r="CA64" s="108">
        <v>1045.04</v>
      </c>
      <c r="CB64" s="108">
        <v>0</v>
      </c>
      <c r="CC64">
        <v>1149.54</v>
      </c>
      <c r="CD64">
        <v>0</v>
      </c>
      <c r="CE64" s="189">
        <v>96</v>
      </c>
      <c r="CF64" s="189">
        <v>0</v>
      </c>
      <c r="CG64" s="189">
        <f t="shared" si="31"/>
        <v>261.26</v>
      </c>
      <c r="CH64" s="189">
        <f t="shared" si="32"/>
        <v>0</v>
      </c>
      <c r="CI64" s="150"/>
      <c r="CJ64" s="150"/>
      <c r="CK64" s="150">
        <f>300-10</f>
        <v>290</v>
      </c>
      <c r="CL64" s="150">
        <v>0</v>
      </c>
      <c r="CM64" s="150"/>
      <c r="CN64" s="150"/>
      <c r="CO64" s="150">
        <v>1167</v>
      </c>
      <c r="CP64" s="150"/>
      <c r="CQ64" s="150">
        <f t="shared" si="33"/>
        <v>1160</v>
      </c>
      <c r="CR64" s="150">
        <f t="shared" si="34"/>
        <v>0</v>
      </c>
      <c r="CS64" s="150">
        <f t="shared" si="35"/>
        <v>1160</v>
      </c>
      <c r="CT64" s="150">
        <f t="shared" si="36"/>
        <v>0</v>
      </c>
      <c r="CU64" s="150">
        <f t="shared" si="287"/>
        <v>1160</v>
      </c>
      <c r="CV64" s="150">
        <f t="shared" si="288"/>
        <v>0</v>
      </c>
      <c r="CW64" s="150">
        <f t="shared" si="37"/>
        <v>290</v>
      </c>
      <c r="CX64" s="150">
        <f t="shared" si="38"/>
        <v>0</v>
      </c>
      <c r="CY64" s="150"/>
      <c r="CZ64" s="150"/>
      <c r="DA64" s="150">
        <f t="shared" si="39"/>
        <v>676</v>
      </c>
      <c r="DB64" s="150">
        <f t="shared" si="40"/>
        <v>0</v>
      </c>
      <c r="DC64" s="150">
        <v>588.74</v>
      </c>
      <c r="DD64" s="150">
        <v>0</v>
      </c>
      <c r="DE64" s="150">
        <f t="shared" si="41"/>
        <v>87.259999999999991</v>
      </c>
      <c r="DF64" s="150">
        <f t="shared" si="42"/>
        <v>0</v>
      </c>
      <c r="DG64" s="150">
        <f>ROUND(0.25*(MIN(CU64,DO64)),2)</f>
        <v>250</v>
      </c>
      <c r="DH64" s="150">
        <f>ROUND(0.25*(MIN(CV64,DP64)),2)</f>
        <v>0</v>
      </c>
      <c r="DI64" s="150">
        <f>+DG64-DE64</f>
        <v>162.74</v>
      </c>
      <c r="DJ64" s="150">
        <f>+DH64-DF64</f>
        <v>0</v>
      </c>
      <c r="DK64" s="104">
        <f t="shared" si="165"/>
        <v>161.26</v>
      </c>
      <c r="DL64" s="104">
        <f t="shared" si="166"/>
        <v>0</v>
      </c>
      <c r="DM64" s="104">
        <f t="shared" si="2"/>
        <v>321.26</v>
      </c>
      <c r="DN64" s="104">
        <f t="shared" si="3"/>
        <v>0</v>
      </c>
      <c r="DO64" s="104">
        <v>1000</v>
      </c>
      <c r="DP64" s="104">
        <v>0</v>
      </c>
      <c r="DQ64" s="104">
        <v>1050</v>
      </c>
      <c r="DR64" s="104">
        <v>0</v>
      </c>
    </row>
    <row r="65" spans="1:126" ht="18.75">
      <c r="A65" s="18"/>
      <c r="B65" s="18" t="s">
        <v>93</v>
      </c>
      <c r="C65" s="19" t="s">
        <v>94</v>
      </c>
      <c r="D65" s="20" t="s">
        <v>91</v>
      </c>
      <c r="E65" s="21" t="s">
        <v>95</v>
      </c>
      <c r="F65" s="22">
        <v>1963.3500000000001</v>
      </c>
      <c r="G65" s="22">
        <v>216.04999999999998</v>
      </c>
      <c r="H65" s="22">
        <v>2264.1800000000003</v>
      </c>
      <c r="I65" s="22">
        <v>216.04999999999998</v>
      </c>
      <c r="J65" s="88">
        <f t="shared" ref="J65:AA65" si="293">+J63+J64</f>
        <v>2170.3000000000002</v>
      </c>
      <c r="K65" s="88">
        <f t="shared" si="293"/>
        <v>0</v>
      </c>
      <c r="L65" s="88">
        <f t="shared" si="293"/>
        <v>0</v>
      </c>
      <c r="M65" s="88">
        <f t="shared" si="293"/>
        <v>2170.3000000000002</v>
      </c>
      <c r="N65" s="88">
        <f t="shared" si="293"/>
        <v>295.42</v>
      </c>
      <c r="O65" s="88">
        <f t="shared" si="293"/>
        <v>0</v>
      </c>
      <c r="P65" s="88">
        <f t="shared" si="293"/>
        <v>0</v>
      </c>
      <c r="Q65" s="88">
        <f t="shared" si="293"/>
        <v>295.42</v>
      </c>
      <c r="R65" s="88">
        <f t="shared" si="293"/>
        <v>2465.7200000000003</v>
      </c>
      <c r="S65" s="88">
        <f t="shared" si="293"/>
        <v>137</v>
      </c>
      <c r="T65" s="88">
        <f t="shared" si="293"/>
        <v>0</v>
      </c>
      <c r="U65" s="88">
        <f t="shared" si="293"/>
        <v>0</v>
      </c>
      <c r="V65" s="88">
        <f t="shared" si="293"/>
        <v>2396.1800000000003</v>
      </c>
      <c r="W65" s="88">
        <f t="shared" si="293"/>
        <v>223.11</v>
      </c>
      <c r="X65" s="88">
        <f t="shared" si="293"/>
        <v>69.539999999999964</v>
      </c>
      <c r="Y65" s="88">
        <f t="shared" si="293"/>
        <v>-86.110000000000014</v>
      </c>
      <c r="Z65" s="88">
        <f t="shared" si="293"/>
        <v>2107.9300000000003</v>
      </c>
      <c r="AA65" s="88">
        <f t="shared" si="293"/>
        <v>288.25</v>
      </c>
      <c r="AB65" s="22">
        <f t="shared" si="6"/>
        <v>2396.1800000000003</v>
      </c>
      <c r="AC65" s="109">
        <f t="shared" si="7"/>
        <v>0</v>
      </c>
      <c r="AD65" s="22">
        <f t="shared" ref="AD65:CP65" si="294">+AD63+AD64</f>
        <v>2396.1800000000003</v>
      </c>
      <c r="AE65" s="22">
        <f t="shared" si="294"/>
        <v>137</v>
      </c>
      <c r="AF65" s="22">
        <f t="shared" si="294"/>
        <v>123.6</v>
      </c>
      <c r="AG65" s="22">
        <f t="shared" si="294"/>
        <v>599</v>
      </c>
      <c r="AH65" s="22">
        <f t="shared" si="294"/>
        <v>34</v>
      </c>
      <c r="AI65" s="118">
        <f t="shared" si="294"/>
        <v>199</v>
      </c>
      <c r="AJ65" s="22">
        <f t="shared" si="294"/>
        <v>11</v>
      </c>
      <c r="AK65" s="22">
        <f t="shared" si="294"/>
        <v>0</v>
      </c>
      <c r="AL65" s="22">
        <f t="shared" si="294"/>
        <v>0</v>
      </c>
      <c r="AM65" s="22">
        <f t="shared" si="294"/>
        <v>599.04999999999995</v>
      </c>
      <c r="AN65" s="22">
        <f t="shared" si="294"/>
        <v>33.36</v>
      </c>
      <c r="AO65" s="22">
        <f t="shared" si="294"/>
        <v>0</v>
      </c>
      <c r="AP65" s="22">
        <f t="shared" si="294"/>
        <v>0</v>
      </c>
      <c r="AQ65" s="22">
        <f t="shared" si="294"/>
        <v>1198.0500000000002</v>
      </c>
      <c r="AR65" s="22">
        <f t="shared" si="294"/>
        <v>67.36</v>
      </c>
      <c r="AS65" s="22">
        <f t="shared" si="294"/>
        <v>0</v>
      </c>
      <c r="AT65" s="22">
        <f t="shared" si="294"/>
        <v>0</v>
      </c>
      <c r="AU65" s="22">
        <f t="shared" si="294"/>
        <v>599.04999999999995</v>
      </c>
      <c r="AV65" s="22">
        <f t="shared" si="294"/>
        <v>34.25</v>
      </c>
      <c r="AW65" s="22">
        <f t="shared" si="294"/>
        <v>0</v>
      </c>
      <c r="AX65" s="22">
        <f t="shared" si="294"/>
        <v>0</v>
      </c>
      <c r="AY65" s="22">
        <f t="shared" si="294"/>
        <v>1996.1000000000001</v>
      </c>
      <c r="AZ65" s="22">
        <f t="shared" si="294"/>
        <v>112.61</v>
      </c>
      <c r="BA65" s="22">
        <f t="shared" si="294"/>
        <v>2108.71</v>
      </c>
      <c r="BB65" s="22">
        <f t="shared" si="294"/>
        <v>1781.38</v>
      </c>
      <c r="BC65" s="22">
        <f t="shared" si="294"/>
        <v>91.18</v>
      </c>
      <c r="BD65" s="22">
        <f t="shared" si="294"/>
        <v>214.72000000000014</v>
      </c>
      <c r="BE65" s="22">
        <f t="shared" si="294"/>
        <v>21.429999999999993</v>
      </c>
      <c r="BF65" s="22">
        <f t="shared" si="294"/>
        <v>356.27</v>
      </c>
      <c r="BG65" s="118">
        <f t="shared" si="294"/>
        <v>18.239999999999998</v>
      </c>
      <c r="BH65" s="118">
        <f t="shared" si="294"/>
        <v>87.88</v>
      </c>
      <c r="BI65" s="118">
        <f t="shared" si="294"/>
        <v>0</v>
      </c>
      <c r="BJ65" s="118">
        <f t="shared" si="294"/>
        <v>0</v>
      </c>
      <c r="BK65" s="118">
        <f t="shared" si="294"/>
        <v>25.21</v>
      </c>
      <c r="BL65" s="118">
        <f t="shared" si="294"/>
        <v>2083.9800000000005</v>
      </c>
      <c r="BM65" s="118">
        <f t="shared" si="294"/>
        <v>137.82</v>
      </c>
      <c r="BN65" s="118">
        <f t="shared" si="294"/>
        <v>2221.8000000000002</v>
      </c>
      <c r="BO65" s="118">
        <f t="shared" si="294"/>
        <v>2031.8400000000001</v>
      </c>
      <c r="BP65" s="118">
        <f t="shared" si="294"/>
        <v>113.26</v>
      </c>
      <c r="BQ65" s="22">
        <f t="shared" si="294"/>
        <v>52.1400000000001</v>
      </c>
      <c r="BR65" s="22">
        <f t="shared" si="294"/>
        <v>24.559999999999988</v>
      </c>
      <c r="BS65" s="22">
        <f t="shared" si="294"/>
        <v>184.72</v>
      </c>
      <c r="BT65" s="22">
        <f t="shared" si="294"/>
        <v>10.3</v>
      </c>
      <c r="BU65" s="22">
        <f t="shared" si="294"/>
        <v>132.58000000000001</v>
      </c>
      <c r="BV65" s="22">
        <f t="shared" si="294"/>
        <v>0</v>
      </c>
      <c r="BW65" s="22">
        <f t="shared" si="294"/>
        <v>0</v>
      </c>
      <c r="BX65" s="22">
        <f t="shared" si="294"/>
        <v>0</v>
      </c>
      <c r="BY65" s="22">
        <f t="shared" si="294"/>
        <v>0</v>
      </c>
      <c r="BZ65" s="22">
        <f t="shared" si="294"/>
        <v>0</v>
      </c>
      <c r="CA65" s="22">
        <f t="shared" si="294"/>
        <v>2216.5600000000004</v>
      </c>
      <c r="CB65" s="22">
        <f t="shared" si="294"/>
        <v>137.82</v>
      </c>
      <c r="CC65" s="22">
        <f t="shared" si="294"/>
        <v>2438.21</v>
      </c>
      <c r="CD65" s="118">
        <f t="shared" si="294"/>
        <v>158.49</v>
      </c>
      <c r="CE65" s="190">
        <f t="shared" si="294"/>
        <v>203</v>
      </c>
      <c r="CF65" s="190">
        <f t="shared" si="294"/>
        <v>13</v>
      </c>
      <c r="CG65" s="190">
        <f t="shared" si="294"/>
        <v>554.14</v>
      </c>
      <c r="CH65" s="190">
        <f t="shared" si="294"/>
        <v>34.46</v>
      </c>
      <c r="CI65" s="190">
        <f t="shared" si="294"/>
        <v>0</v>
      </c>
      <c r="CJ65" s="190">
        <f t="shared" si="294"/>
        <v>0</v>
      </c>
      <c r="CK65" s="190">
        <f t="shared" si="294"/>
        <v>590</v>
      </c>
      <c r="CL65" s="190">
        <f t="shared" si="294"/>
        <v>40</v>
      </c>
      <c r="CM65" s="190">
        <f t="shared" si="294"/>
        <v>0</v>
      </c>
      <c r="CN65" s="190">
        <f t="shared" si="294"/>
        <v>0</v>
      </c>
      <c r="CO65" s="190">
        <f t="shared" si="294"/>
        <v>2487</v>
      </c>
      <c r="CP65" s="190">
        <f t="shared" si="294"/>
        <v>182</v>
      </c>
      <c r="CQ65" s="190">
        <f t="shared" ref="CQ65:DP65" si="295">+CQ63+CQ64</f>
        <v>2360</v>
      </c>
      <c r="CR65" s="190">
        <f t="shared" si="295"/>
        <v>160</v>
      </c>
      <c r="CS65" s="190">
        <f t="shared" si="295"/>
        <v>2360</v>
      </c>
      <c r="CT65" s="190">
        <f t="shared" si="295"/>
        <v>160</v>
      </c>
      <c r="CU65" s="190">
        <f t="shared" si="295"/>
        <v>2360</v>
      </c>
      <c r="CV65" s="190">
        <f t="shared" si="295"/>
        <v>160</v>
      </c>
      <c r="CW65" s="190">
        <f t="shared" si="295"/>
        <v>590</v>
      </c>
      <c r="CX65" s="190">
        <f t="shared" si="295"/>
        <v>30</v>
      </c>
      <c r="CY65" s="190">
        <f t="shared" si="295"/>
        <v>0</v>
      </c>
      <c r="CZ65" s="190">
        <f t="shared" si="295"/>
        <v>0</v>
      </c>
      <c r="DA65" s="190">
        <f t="shared" si="295"/>
        <v>1383</v>
      </c>
      <c r="DB65" s="190">
        <f t="shared" si="295"/>
        <v>83</v>
      </c>
      <c r="DC65" s="190">
        <f t="shared" si="295"/>
        <v>1328.88</v>
      </c>
      <c r="DD65" s="190">
        <f t="shared" si="295"/>
        <v>81.61</v>
      </c>
      <c r="DE65" s="190">
        <f t="shared" si="295"/>
        <v>54.120000000000005</v>
      </c>
      <c r="DF65" s="190">
        <f t="shared" si="295"/>
        <v>1.3900000000000006</v>
      </c>
      <c r="DG65" s="190">
        <f t="shared" si="295"/>
        <v>550</v>
      </c>
      <c r="DH65" s="190">
        <f t="shared" si="295"/>
        <v>40</v>
      </c>
      <c r="DI65" s="190">
        <f t="shared" si="295"/>
        <v>495.88</v>
      </c>
      <c r="DJ65" s="190">
        <f t="shared" si="295"/>
        <v>77</v>
      </c>
      <c r="DK65" s="104">
        <f t="shared" si="165"/>
        <v>376.12</v>
      </c>
      <c r="DL65" s="104">
        <f t="shared" si="166"/>
        <v>0</v>
      </c>
      <c r="DM65" s="104">
        <f t="shared" si="2"/>
        <v>481.12</v>
      </c>
      <c r="DN65" s="104">
        <f t="shared" si="3"/>
        <v>0</v>
      </c>
      <c r="DO65" s="22">
        <f t="shared" si="295"/>
        <v>2255</v>
      </c>
      <c r="DP65" s="22">
        <f t="shared" si="295"/>
        <v>160</v>
      </c>
      <c r="DQ65" s="22">
        <f t="shared" ref="DQ65:DU65" si="296">+DQ63+DQ64</f>
        <v>2350</v>
      </c>
      <c r="DR65" s="22">
        <f t="shared" si="296"/>
        <v>171</v>
      </c>
      <c r="DS65" s="22">
        <f t="shared" si="296"/>
        <v>0</v>
      </c>
      <c r="DT65" s="22">
        <f t="shared" si="296"/>
        <v>0</v>
      </c>
      <c r="DU65" s="22">
        <f t="shared" si="296"/>
        <v>0</v>
      </c>
    </row>
    <row r="66" spans="1:126" ht="18.75">
      <c r="A66" s="13">
        <v>47</v>
      </c>
      <c r="B66" s="13"/>
      <c r="C66" s="14"/>
      <c r="D66" s="15" t="s">
        <v>96</v>
      </c>
      <c r="E66" s="16"/>
      <c r="F66" s="81">
        <v>1115.5099999999998</v>
      </c>
      <c r="G66" s="81">
        <v>193.5</v>
      </c>
      <c r="H66" s="81">
        <v>1115.5099999999998</v>
      </c>
      <c r="I66" s="17">
        <v>193.5</v>
      </c>
      <c r="J66" s="86">
        <v>1428</v>
      </c>
      <c r="K66" s="87">
        <v>0</v>
      </c>
      <c r="L66" s="87">
        <v>0.25</v>
      </c>
      <c r="M66" s="87">
        <f t="shared" si="246"/>
        <v>1428.25</v>
      </c>
      <c r="N66" s="87">
        <v>0</v>
      </c>
      <c r="O66" s="87">
        <v>0</v>
      </c>
      <c r="P66" s="87">
        <v>0</v>
      </c>
      <c r="Q66" s="87">
        <f t="shared" ref="Q66:Q70" si="297">N66+O66+P66</f>
        <v>0</v>
      </c>
      <c r="R66" s="87">
        <f t="shared" si="135"/>
        <v>1428.25</v>
      </c>
      <c r="S66" s="87">
        <v>200.5</v>
      </c>
      <c r="V66" s="17">
        <f t="shared" ref="V66:V67" si="298">ROUND(H66*1.0583,2)</f>
        <v>1180.54</v>
      </c>
      <c r="W66" s="17">
        <f t="shared" ref="W66:W67" si="299">ROUND(I66*1.0327,2)</f>
        <v>199.83</v>
      </c>
      <c r="X66" s="108">
        <f t="shared" si="4"/>
        <v>247.71000000000004</v>
      </c>
      <c r="Y66" s="108">
        <f t="shared" si="5"/>
        <v>0.66999999999998749</v>
      </c>
      <c r="Z66" s="108">
        <v>1180.54</v>
      </c>
      <c r="AA66" s="108"/>
      <c r="AB66" s="108">
        <f t="shared" si="6"/>
        <v>1180.54</v>
      </c>
      <c r="AC66" s="109">
        <f t="shared" si="7"/>
        <v>0</v>
      </c>
      <c r="AD66" s="108">
        <f t="shared" ref="AD66:AD67" si="300">IF(X66&gt;0,V66,R66)</f>
        <v>1180.54</v>
      </c>
      <c r="AE66" s="108">
        <f t="shared" ref="AE66:AE67" si="301">IF(Y66&gt;0,W66,S66)</f>
        <v>199.83</v>
      </c>
      <c r="AF66" s="108">
        <f t="shared" si="8"/>
        <v>180.89</v>
      </c>
      <c r="AG66" s="108">
        <f t="shared" si="9"/>
        <v>295</v>
      </c>
      <c r="AH66" s="108">
        <f t="shared" si="46"/>
        <v>50</v>
      </c>
      <c r="AI66" s="127">
        <f t="shared" si="10"/>
        <v>98</v>
      </c>
      <c r="AJ66" s="108">
        <f t="shared" si="11"/>
        <v>17</v>
      </c>
      <c r="AM66" s="108">
        <f t="shared" si="12"/>
        <v>295.14</v>
      </c>
      <c r="AN66" s="108">
        <f t="shared" si="13"/>
        <v>48.66</v>
      </c>
      <c r="AQ66" s="108">
        <f t="shared" si="14"/>
        <v>590.14</v>
      </c>
      <c r="AR66" s="108">
        <f t="shared" si="15"/>
        <v>98.66</v>
      </c>
      <c r="AU66" s="108">
        <f t="shared" ref="AU66:AU87" si="302">ROUND(AD66*25%,2)</f>
        <v>295.14</v>
      </c>
      <c r="AV66" s="108">
        <f t="shared" si="184"/>
        <v>49.96</v>
      </c>
      <c r="AY66" s="108">
        <f t="shared" ref="AY66:AY127" si="303">+AQ66+AS66+AU66+AW66+AI66</f>
        <v>983.28</v>
      </c>
      <c r="AZ66" s="108">
        <f t="shared" ref="AZ66:AZ127" si="304">+AR66+AT66+AV66+AX66+AJ66</f>
        <v>165.62</v>
      </c>
      <c r="BA66" s="108">
        <f t="shared" ref="BA66:BA127" si="305">+AY66+AZ66</f>
        <v>1148.9000000000001</v>
      </c>
      <c r="BB66" s="139">
        <v>972.64</v>
      </c>
      <c r="BC66" s="139">
        <v>152.38999999999999</v>
      </c>
      <c r="BD66" s="139">
        <f t="shared" ref="BD66:BD127" si="306">AY66-BB66</f>
        <v>10.639999999999986</v>
      </c>
      <c r="BE66" s="139">
        <f t="shared" ref="BE66:BE127" si="307">AZ66-BC66</f>
        <v>13.230000000000018</v>
      </c>
      <c r="BF66" s="139">
        <f t="shared" ref="BF66:BF127" si="308">ROUND(BB66/10*2,2)</f>
        <v>194.53</v>
      </c>
      <c r="BG66" s="139">
        <f t="shared" ref="BG66:BG127" si="309">ROUND(BC66/10*2,2)</f>
        <v>30.48</v>
      </c>
      <c r="BH66" s="108">
        <v>91.95</v>
      </c>
      <c r="BI66" s="108">
        <v>8.6300000000000008</v>
      </c>
      <c r="BK66" s="108">
        <v>40.07</v>
      </c>
      <c r="BL66" s="108">
        <f t="shared" si="1"/>
        <v>1075.23</v>
      </c>
      <c r="BM66" s="108">
        <f t="shared" si="24"/>
        <v>214.32</v>
      </c>
      <c r="BN66" s="108">
        <f t="shared" si="25"/>
        <v>1289.55</v>
      </c>
      <c r="BO66" s="108">
        <v>1067.44</v>
      </c>
      <c r="BP66" s="127">
        <v>174.25</v>
      </c>
      <c r="BQ66" s="108">
        <f t="shared" si="26"/>
        <v>7.7899999999999636</v>
      </c>
      <c r="BR66" s="108">
        <f t="shared" si="27"/>
        <v>40.069999999999993</v>
      </c>
      <c r="BS66" s="108">
        <f t="shared" si="28"/>
        <v>97.04</v>
      </c>
      <c r="BT66" s="108">
        <f t="shared" si="29"/>
        <v>15.84</v>
      </c>
      <c r="BU66" s="108">
        <f t="shared" si="47"/>
        <v>89.250000000000043</v>
      </c>
      <c r="BV66" s="108">
        <v>0</v>
      </c>
      <c r="BW66" s="109">
        <v>43.4</v>
      </c>
      <c r="CA66" s="108">
        <v>1207.8800000000001</v>
      </c>
      <c r="CB66" s="108">
        <v>214.32</v>
      </c>
      <c r="CC66">
        <v>1328.67</v>
      </c>
      <c r="CD66">
        <v>246.47</v>
      </c>
      <c r="CE66" s="189">
        <v>111</v>
      </c>
      <c r="CF66" s="189">
        <v>21</v>
      </c>
      <c r="CG66" s="189">
        <f t="shared" si="31"/>
        <v>301.97000000000003</v>
      </c>
      <c r="CH66" s="189">
        <f t="shared" si="32"/>
        <v>53.58</v>
      </c>
      <c r="CI66" s="150"/>
      <c r="CJ66" s="150"/>
      <c r="CK66" s="150">
        <v>305.5</v>
      </c>
      <c r="CL66" s="150">
        <v>25.5</v>
      </c>
      <c r="CM66" s="150"/>
      <c r="CN66" s="150"/>
      <c r="CO66" s="150">
        <v>1300</v>
      </c>
      <c r="CP66" s="150">
        <v>50</v>
      </c>
      <c r="CQ66" s="150">
        <f t="shared" si="33"/>
        <v>1222</v>
      </c>
      <c r="CR66" s="150">
        <f t="shared" si="34"/>
        <v>102</v>
      </c>
      <c r="CS66" s="150">
        <f t="shared" si="35"/>
        <v>1222</v>
      </c>
      <c r="CT66" s="150">
        <f t="shared" si="36"/>
        <v>50</v>
      </c>
      <c r="CU66" s="150">
        <v>1405.8</v>
      </c>
      <c r="CV66" s="150">
        <v>74.960000000000008</v>
      </c>
      <c r="CW66" s="150">
        <f t="shared" si="37"/>
        <v>351.45</v>
      </c>
      <c r="CX66" s="150">
        <f t="shared" si="38"/>
        <v>18.739999999999998</v>
      </c>
      <c r="CY66" s="150"/>
      <c r="CZ66" s="150"/>
      <c r="DA66" s="150">
        <f t="shared" si="39"/>
        <v>767.95</v>
      </c>
      <c r="DB66" s="150">
        <f t="shared" si="40"/>
        <v>65.239999999999995</v>
      </c>
      <c r="DC66" s="150">
        <v>723.63</v>
      </c>
      <c r="DD66" s="150">
        <v>30.02</v>
      </c>
      <c r="DE66" s="150">
        <f t="shared" si="41"/>
        <v>44.32000000000005</v>
      </c>
      <c r="DF66" s="150">
        <f t="shared" si="42"/>
        <v>35.22</v>
      </c>
      <c r="DG66" s="150">
        <f>ROUND(0.25*(MIN(CU66,DO66)),2)</f>
        <v>325</v>
      </c>
      <c r="DH66" s="150">
        <f>ROUND(0.25*(MIN(CV66,DP66)),2)</f>
        <v>13.5</v>
      </c>
      <c r="DI66" s="150">
        <f>+DG66-DE66</f>
        <v>280.67999999999995</v>
      </c>
      <c r="DJ66" s="150">
        <f>+DH66-DF66+21.72</f>
        <v>0</v>
      </c>
      <c r="DK66" s="104">
        <f t="shared" si="165"/>
        <v>251.37</v>
      </c>
      <c r="DL66" s="104">
        <f t="shared" si="166"/>
        <v>-11.239999999999995</v>
      </c>
      <c r="DM66" s="104">
        <f t="shared" si="2"/>
        <v>357.16999999999996</v>
      </c>
      <c r="DN66" s="104">
        <f t="shared" si="3"/>
        <v>9.7200000000000131</v>
      </c>
      <c r="DO66" s="104">
        <v>1300</v>
      </c>
      <c r="DP66" s="178">
        <v>54</v>
      </c>
      <c r="DQ66" s="104">
        <v>1425</v>
      </c>
      <c r="DR66" s="104">
        <v>100</v>
      </c>
    </row>
    <row r="67" spans="1:126" ht="18.75">
      <c r="A67" s="13">
        <v>48</v>
      </c>
      <c r="B67" s="13"/>
      <c r="C67" s="14"/>
      <c r="D67" s="15" t="s">
        <v>97</v>
      </c>
      <c r="E67" s="16"/>
      <c r="F67" s="81">
        <v>205.81000000000003</v>
      </c>
      <c r="G67" s="81">
        <v>0</v>
      </c>
      <c r="H67" s="81">
        <v>205.81000000000003</v>
      </c>
      <c r="I67" s="17">
        <v>0</v>
      </c>
      <c r="J67" s="86">
        <v>265.91000000000003</v>
      </c>
      <c r="K67" s="87">
        <v>0</v>
      </c>
      <c r="L67" s="87">
        <v>0</v>
      </c>
      <c r="M67" s="87">
        <f t="shared" si="246"/>
        <v>265.91000000000003</v>
      </c>
      <c r="N67" s="87">
        <v>29.98</v>
      </c>
      <c r="O67" s="87">
        <v>0</v>
      </c>
      <c r="P67" s="87">
        <v>0</v>
      </c>
      <c r="Q67" s="87">
        <f t="shared" si="297"/>
        <v>29.98</v>
      </c>
      <c r="R67" s="87">
        <f t="shared" si="135"/>
        <v>295.89000000000004</v>
      </c>
      <c r="S67" s="87">
        <v>0</v>
      </c>
      <c r="V67" s="17">
        <f t="shared" si="298"/>
        <v>217.81</v>
      </c>
      <c r="W67" s="17">
        <f t="shared" si="299"/>
        <v>0</v>
      </c>
      <c r="X67" s="108">
        <f t="shared" ref="X67:X128" si="310">R67-V67</f>
        <v>78.080000000000041</v>
      </c>
      <c r="Y67" s="108">
        <f t="shared" ref="Y67:Y128" si="311">S67-W67</f>
        <v>0</v>
      </c>
      <c r="Z67" s="108">
        <v>200</v>
      </c>
      <c r="AA67" s="108">
        <v>17.809999999999999</v>
      </c>
      <c r="AB67" s="108">
        <f t="shared" ref="AB67:AB128" si="312">Z67+AA67</f>
        <v>217.81</v>
      </c>
      <c r="AC67" s="109">
        <f t="shared" ref="AC67:AC128" si="313">AD67-AB67</f>
        <v>0</v>
      </c>
      <c r="AD67" s="108">
        <f t="shared" si="300"/>
        <v>217.81</v>
      </c>
      <c r="AE67" s="108">
        <f t="shared" si="301"/>
        <v>0</v>
      </c>
      <c r="AF67" s="108">
        <f t="shared" ref="AF67:AF128" si="314">ROUND(S67*0.9022,2)</f>
        <v>0</v>
      </c>
      <c r="AG67" s="108">
        <f t="shared" ref="AG67:AG128" si="315">ROUND(AD67/4,0)</f>
        <v>54</v>
      </c>
      <c r="AH67" s="108">
        <f t="shared" ref="AH67:AH128" si="316">ROUND(AE67/4,0)</f>
        <v>0</v>
      </c>
      <c r="AI67" s="127">
        <f t="shared" ref="AI67:AI128" si="317">ROUND(AD67/12,0)</f>
        <v>18</v>
      </c>
      <c r="AJ67" s="108">
        <f t="shared" ref="AJ67:AJ128" si="318">ROUND(AE67/12,0)</f>
        <v>0</v>
      </c>
      <c r="AM67" s="108">
        <f t="shared" ref="AM67:AM128" si="319">ROUND(AD67*25%,2)</f>
        <v>54.45</v>
      </c>
      <c r="AN67" s="108">
        <f t="shared" ref="AN67:AN128" si="320">ROUND(AE67*24.35%,2)</f>
        <v>0</v>
      </c>
      <c r="AQ67" s="108">
        <f t="shared" ref="AQ67:AQ128" si="321">+AM67+AK67+AG67+AO67</f>
        <v>108.45</v>
      </c>
      <c r="AR67" s="108">
        <f t="shared" ref="AR67:AR128" si="322">+AN67+AL67+AH67+AP67</f>
        <v>0</v>
      </c>
      <c r="AU67" s="108">
        <f t="shared" si="302"/>
        <v>54.45</v>
      </c>
      <c r="AV67" s="108">
        <f t="shared" si="184"/>
        <v>0</v>
      </c>
      <c r="AY67" s="108">
        <f t="shared" si="303"/>
        <v>180.9</v>
      </c>
      <c r="AZ67" s="108">
        <f t="shared" si="304"/>
        <v>0</v>
      </c>
      <c r="BA67" s="108">
        <f t="shared" si="305"/>
        <v>180.9</v>
      </c>
      <c r="BB67" s="139">
        <v>180.9</v>
      </c>
      <c r="BD67" s="139">
        <f t="shared" si="306"/>
        <v>0</v>
      </c>
      <c r="BE67" s="139">
        <f t="shared" si="307"/>
        <v>0</v>
      </c>
      <c r="BF67" s="139">
        <f t="shared" si="308"/>
        <v>36.18</v>
      </c>
      <c r="BG67" s="139">
        <f t="shared" si="309"/>
        <v>0</v>
      </c>
      <c r="BH67" s="108">
        <v>18.09</v>
      </c>
      <c r="BI67" s="108">
        <v>0</v>
      </c>
      <c r="BL67" s="108">
        <f t="shared" si="1"/>
        <v>198.99</v>
      </c>
      <c r="BM67" s="108">
        <f t="shared" si="24"/>
        <v>0</v>
      </c>
      <c r="BN67" s="108">
        <f t="shared" si="25"/>
        <v>198.99</v>
      </c>
      <c r="BO67" s="108">
        <v>180.9</v>
      </c>
      <c r="BP67" s="127"/>
      <c r="BQ67" s="108">
        <f t="shared" si="26"/>
        <v>18.090000000000003</v>
      </c>
      <c r="BR67" s="108">
        <f t="shared" si="27"/>
        <v>0</v>
      </c>
      <c r="BS67" s="108">
        <f t="shared" si="28"/>
        <v>16.45</v>
      </c>
      <c r="BT67" s="108">
        <f t="shared" si="29"/>
        <v>0</v>
      </c>
      <c r="BU67" s="108">
        <f t="shared" si="47"/>
        <v>-1.6400000000000041</v>
      </c>
      <c r="BV67" s="108">
        <f t="shared" si="128"/>
        <v>0</v>
      </c>
      <c r="BW67" s="109">
        <v>19.73</v>
      </c>
      <c r="CA67" s="108">
        <v>217.07999999999998</v>
      </c>
      <c r="CB67" s="108">
        <v>0</v>
      </c>
      <c r="CC67">
        <v>238.79</v>
      </c>
      <c r="CD67">
        <v>0</v>
      </c>
      <c r="CE67" s="189">
        <v>20</v>
      </c>
      <c r="CF67" s="189">
        <v>0</v>
      </c>
      <c r="CG67" s="189">
        <f t="shared" si="31"/>
        <v>54.27</v>
      </c>
      <c r="CH67" s="189">
        <f t="shared" si="32"/>
        <v>0</v>
      </c>
      <c r="CI67" s="150"/>
      <c r="CJ67" s="150"/>
      <c r="CK67" s="150">
        <v>62.41</v>
      </c>
      <c r="CL67" s="150">
        <v>0</v>
      </c>
      <c r="CM67" s="150"/>
      <c r="CN67" s="150"/>
      <c r="CO67" s="150">
        <v>253.24</v>
      </c>
      <c r="CP67" s="150"/>
      <c r="CQ67" s="150">
        <f t="shared" si="33"/>
        <v>249.64</v>
      </c>
      <c r="CR67" s="150">
        <f t="shared" si="34"/>
        <v>0</v>
      </c>
      <c r="CS67" s="150">
        <f t="shared" si="35"/>
        <v>249.64</v>
      </c>
      <c r="CT67" s="150">
        <f t="shared" si="36"/>
        <v>0</v>
      </c>
      <c r="CU67" s="150">
        <f t="shared" ref="CU67" si="323">IF(CQ67&lt;CS67,CQ67,CS67)</f>
        <v>249.64</v>
      </c>
      <c r="CV67" s="150">
        <f t="shared" ref="CV67" si="324">IF(CR67&lt;CT67,CR67,CT67)</f>
        <v>0</v>
      </c>
      <c r="CW67" s="150">
        <f t="shared" si="37"/>
        <v>62.41</v>
      </c>
      <c r="CX67" s="150">
        <f t="shared" si="38"/>
        <v>0</v>
      </c>
      <c r="CY67" s="150"/>
      <c r="CZ67" s="150"/>
      <c r="DA67" s="150">
        <f t="shared" si="39"/>
        <v>144.82</v>
      </c>
      <c r="DB67" s="150">
        <f t="shared" si="40"/>
        <v>0</v>
      </c>
      <c r="DC67" s="150">
        <f>132.46+12.36</f>
        <v>144.82</v>
      </c>
      <c r="DD67" s="150">
        <v>0</v>
      </c>
      <c r="DE67" s="150">
        <f t="shared" si="41"/>
        <v>0</v>
      </c>
      <c r="DF67" s="150">
        <f t="shared" si="42"/>
        <v>0</v>
      </c>
      <c r="DG67" s="150">
        <f>ROUND(0.25*(MIN(CU67,DO67)),2)</f>
        <v>62.41</v>
      </c>
      <c r="DH67" s="150">
        <f>ROUND(0.25*(MIN(CV67,DP67)),2)</f>
        <v>0</v>
      </c>
      <c r="DI67" s="150">
        <f>+DG67-DE67</f>
        <v>62.41</v>
      </c>
      <c r="DJ67" s="150">
        <f>+DH67-DF67</f>
        <v>0</v>
      </c>
      <c r="DK67" s="104">
        <f t="shared" si="165"/>
        <v>174.41</v>
      </c>
      <c r="DL67" s="104">
        <f t="shared" si="166"/>
        <v>0</v>
      </c>
      <c r="DM67" s="104">
        <f t="shared" si="2"/>
        <v>42.41</v>
      </c>
      <c r="DN67" s="104">
        <f t="shared" si="3"/>
        <v>0</v>
      </c>
      <c r="DO67" s="104">
        <f>20.7+360.94</f>
        <v>381.64</v>
      </c>
      <c r="DP67" s="104">
        <v>0</v>
      </c>
      <c r="DQ67" s="178">
        <f>22.16+319.84</f>
        <v>342</v>
      </c>
      <c r="DR67" s="104">
        <v>0</v>
      </c>
    </row>
    <row r="68" spans="1:126" ht="18.75">
      <c r="A68" s="18"/>
      <c r="B68" s="18" t="s">
        <v>98</v>
      </c>
      <c r="C68" s="19" t="s">
        <v>99</v>
      </c>
      <c r="D68" s="20" t="s">
        <v>96</v>
      </c>
      <c r="E68" s="21" t="s">
        <v>100</v>
      </c>
      <c r="F68" s="22">
        <v>1321.3199999999997</v>
      </c>
      <c r="G68" s="22">
        <v>193.5</v>
      </c>
      <c r="H68" s="22">
        <v>1321.3199999999997</v>
      </c>
      <c r="I68" s="22">
        <v>193.5</v>
      </c>
      <c r="J68" s="88">
        <f t="shared" ref="J68:AA68" si="325">+J66+J67</f>
        <v>1693.91</v>
      </c>
      <c r="K68" s="88">
        <f t="shared" si="325"/>
        <v>0</v>
      </c>
      <c r="L68" s="88">
        <f t="shared" si="325"/>
        <v>0.25</v>
      </c>
      <c r="M68" s="88">
        <f t="shared" si="325"/>
        <v>1694.16</v>
      </c>
      <c r="N68" s="88">
        <f t="shared" si="325"/>
        <v>29.98</v>
      </c>
      <c r="O68" s="88">
        <f t="shared" si="325"/>
        <v>0</v>
      </c>
      <c r="P68" s="88">
        <f t="shared" si="325"/>
        <v>0</v>
      </c>
      <c r="Q68" s="88">
        <f t="shared" si="325"/>
        <v>29.98</v>
      </c>
      <c r="R68" s="88">
        <f t="shared" si="325"/>
        <v>1724.14</v>
      </c>
      <c r="S68" s="88">
        <f t="shared" si="325"/>
        <v>200.5</v>
      </c>
      <c r="T68" s="88">
        <f t="shared" si="325"/>
        <v>0</v>
      </c>
      <c r="U68" s="88">
        <f t="shared" si="325"/>
        <v>0</v>
      </c>
      <c r="V68" s="88">
        <f t="shared" si="325"/>
        <v>1398.35</v>
      </c>
      <c r="W68" s="88">
        <f t="shared" si="325"/>
        <v>199.83</v>
      </c>
      <c r="X68" s="88">
        <f t="shared" si="325"/>
        <v>325.79000000000008</v>
      </c>
      <c r="Y68" s="88">
        <f t="shared" si="325"/>
        <v>0.66999999999998749</v>
      </c>
      <c r="Z68" s="88">
        <f t="shared" si="325"/>
        <v>1380.54</v>
      </c>
      <c r="AA68" s="88">
        <f t="shared" si="325"/>
        <v>17.809999999999999</v>
      </c>
      <c r="AB68" s="22">
        <f t="shared" si="312"/>
        <v>1398.35</v>
      </c>
      <c r="AC68" s="109">
        <f t="shared" si="313"/>
        <v>0</v>
      </c>
      <c r="AD68" s="22">
        <f t="shared" ref="AD68:CP68" si="326">+AD66+AD67</f>
        <v>1398.35</v>
      </c>
      <c r="AE68" s="22">
        <f t="shared" si="326"/>
        <v>199.83</v>
      </c>
      <c r="AF68" s="22">
        <f t="shared" si="326"/>
        <v>180.89</v>
      </c>
      <c r="AG68" s="22">
        <f t="shared" si="326"/>
        <v>349</v>
      </c>
      <c r="AH68" s="22">
        <f t="shared" si="326"/>
        <v>50</v>
      </c>
      <c r="AI68" s="118">
        <f t="shared" si="326"/>
        <v>116</v>
      </c>
      <c r="AJ68" s="22">
        <f t="shared" si="326"/>
        <v>17</v>
      </c>
      <c r="AK68" s="22">
        <f t="shared" si="326"/>
        <v>0</v>
      </c>
      <c r="AL68" s="22">
        <f t="shared" si="326"/>
        <v>0</v>
      </c>
      <c r="AM68" s="22">
        <f t="shared" si="326"/>
        <v>349.59</v>
      </c>
      <c r="AN68" s="22">
        <f t="shared" si="326"/>
        <v>48.66</v>
      </c>
      <c r="AO68" s="22">
        <f t="shared" si="326"/>
        <v>0</v>
      </c>
      <c r="AP68" s="22">
        <f t="shared" si="326"/>
        <v>0</v>
      </c>
      <c r="AQ68" s="22">
        <f t="shared" si="326"/>
        <v>698.59</v>
      </c>
      <c r="AR68" s="22">
        <f t="shared" si="326"/>
        <v>98.66</v>
      </c>
      <c r="AS68" s="22">
        <f t="shared" si="326"/>
        <v>0</v>
      </c>
      <c r="AT68" s="22">
        <f t="shared" si="326"/>
        <v>0</v>
      </c>
      <c r="AU68" s="22">
        <f t="shared" si="326"/>
        <v>349.59</v>
      </c>
      <c r="AV68" s="22">
        <f t="shared" si="326"/>
        <v>49.96</v>
      </c>
      <c r="AW68" s="22">
        <f t="shared" si="326"/>
        <v>0</v>
      </c>
      <c r="AX68" s="22">
        <f t="shared" si="326"/>
        <v>0</v>
      </c>
      <c r="AY68" s="22">
        <f t="shared" si="326"/>
        <v>1164.18</v>
      </c>
      <c r="AZ68" s="22">
        <f t="shared" si="326"/>
        <v>165.62</v>
      </c>
      <c r="BA68" s="22">
        <f t="shared" si="326"/>
        <v>1329.8000000000002</v>
      </c>
      <c r="BB68" s="22">
        <f t="shared" si="326"/>
        <v>1153.54</v>
      </c>
      <c r="BC68" s="22">
        <f t="shared" si="326"/>
        <v>152.38999999999999</v>
      </c>
      <c r="BD68" s="22">
        <f t="shared" si="326"/>
        <v>10.639999999999986</v>
      </c>
      <c r="BE68" s="22">
        <f t="shared" si="326"/>
        <v>13.230000000000018</v>
      </c>
      <c r="BF68" s="22">
        <f t="shared" si="326"/>
        <v>230.71</v>
      </c>
      <c r="BG68" s="118">
        <f t="shared" si="326"/>
        <v>30.48</v>
      </c>
      <c r="BH68" s="118">
        <f t="shared" si="326"/>
        <v>110.04</v>
      </c>
      <c r="BI68" s="118">
        <f t="shared" si="326"/>
        <v>8.6300000000000008</v>
      </c>
      <c r="BJ68" s="118">
        <f t="shared" si="326"/>
        <v>0</v>
      </c>
      <c r="BK68" s="118">
        <f t="shared" si="326"/>
        <v>40.07</v>
      </c>
      <c r="BL68" s="118">
        <f t="shared" si="326"/>
        <v>1274.22</v>
      </c>
      <c r="BM68" s="118">
        <f t="shared" si="326"/>
        <v>214.32</v>
      </c>
      <c r="BN68" s="118">
        <f t="shared" si="326"/>
        <v>1488.54</v>
      </c>
      <c r="BO68" s="118">
        <f t="shared" si="326"/>
        <v>1248.3400000000001</v>
      </c>
      <c r="BP68" s="118">
        <f t="shared" si="326"/>
        <v>174.25</v>
      </c>
      <c r="BQ68" s="22">
        <f t="shared" si="326"/>
        <v>25.879999999999967</v>
      </c>
      <c r="BR68" s="22">
        <f t="shared" si="326"/>
        <v>40.069999999999993</v>
      </c>
      <c r="BS68" s="22">
        <f t="shared" si="326"/>
        <v>113.49000000000001</v>
      </c>
      <c r="BT68" s="22">
        <f t="shared" si="326"/>
        <v>15.84</v>
      </c>
      <c r="BU68" s="22">
        <f t="shared" si="326"/>
        <v>87.610000000000042</v>
      </c>
      <c r="BV68" s="22">
        <f t="shared" si="326"/>
        <v>0</v>
      </c>
      <c r="BW68" s="22">
        <f t="shared" si="326"/>
        <v>63.129999999999995</v>
      </c>
      <c r="BX68" s="22">
        <f t="shared" si="326"/>
        <v>0</v>
      </c>
      <c r="BY68" s="22">
        <f t="shared" si="326"/>
        <v>0</v>
      </c>
      <c r="BZ68" s="22">
        <f t="shared" si="326"/>
        <v>0</v>
      </c>
      <c r="CA68" s="22">
        <f t="shared" si="326"/>
        <v>1424.96</v>
      </c>
      <c r="CB68" s="22">
        <f t="shared" si="326"/>
        <v>214.32</v>
      </c>
      <c r="CC68" s="22">
        <f t="shared" si="326"/>
        <v>1567.46</v>
      </c>
      <c r="CD68" s="118">
        <f t="shared" si="326"/>
        <v>246.47</v>
      </c>
      <c r="CE68" s="190">
        <f t="shared" si="326"/>
        <v>131</v>
      </c>
      <c r="CF68" s="190">
        <f t="shared" si="326"/>
        <v>21</v>
      </c>
      <c r="CG68" s="190">
        <f t="shared" si="326"/>
        <v>356.24</v>
      </c>
      <c r="CH68" s="190">
        <f t="shared" si="326"/>
        <v>53.58</v>
      </c>
      <c r="CI68" s="190">
        <f t="shared" si="326"/>
        <v>0</v>
      </c>
      <c r="CJ68" s="190">
        <f t="shared" si="326"/>
        <v>0</v>
      </c>
      <c r="CK68" s="190">
        <f t="shared" si="326"/>
        <v>367.90999999999997</v>
      </c>
      <c r="CL68" s="190">
        <f t="shared" si="326"/>
        <v>25.5</v>
      </c>
      <c r="CM68" s="190">
        <f t="shared" si="326"/>
        <v>0</v>
      </c>
      <c r="CN68" s="190">
        <f t="shared" si="326"/>
        <v>0</v>
      </c>
      <c r="CO68" s="190">
        <f t="shared" si="326"/>
        <v>1553.24</v>
      </c>
      <c r="CP68" s="190">
        <f t="shared" si="326"/>
        <v>50</v>
      </c>
      <c r="CQ68" s="190">
        <f t="shared" ref="CQ68:DR68" si="327">+CQ66+CQ67</f>
        <v>1471.6399999999999</v>
      </c>
      <c r="CR68" s="190">
        <f t="shared" si="327"/>
        <v>102</v>
      </c>
      <c r="CS68" s="190">
        <f t="shared" si="327"/>
        <v>1471.6399999999999</v>
      </c>
      <c r="CT68" s="190">
        <f t="shared" si="327"/>
        <v>50</v>
      </c>
      <c r="CU68" s="190">
        <f t="shared" si="327"/>
        <v>1655.44</v>
      </c>
      <c r="CV68" s="190">
        <f t="shared" si="327"/>
        <v>74.960000000000008</v>
      </c>
      <c r="CW68" s="190">
        <f t="shared" si="327"/>
        <v>413.86</v>
      </c>
      <c r="CX68" s="190">
        <f t="shared" si="327"/>
        <v>18.739999999999998</v>
      </c>
      <c r="CY68" s="190">
        <f t="shared" si="327"/>
        <v>0</v>
      </c>
      <c r="CZ68" s="190">
        <f t="shared" si="327"/>
        <v>0</v>
      </c>
      <c r="DA68" s="190">
        <f t="shared" si="327"/>
        <v>912.77</v>
      </c>
      <c r="DB68" s="190">
        <f t="shared" si="327"/>
        <v>65.239999999999995</v>
      </c>
      <c r="DC68" s="190">
        <f t="shared" si="327"/>
        <v>868.45</v>
      </c>
      <c r="DD68" s="190">
        <f t="shared" si="327"/>
        <v>30.02</v>
      </c>
      <c r="DE68" s="190">
        <f t="shared" si="327"/>
        <v>44.32000000000005</v>
      </c>
      <c r="DF68" s="190">
        <f t="shared" si="327"/>
        <v>35.22</v>
      </c>
      <c r="DG68" s="190">
        <f t="shared" si="327"/>
        <v>387.40999999999997</v>
      </c>
      <c r="DH68" s="190">
        <f t="shared" si="327"/>
        <v>13.5</v>
      </c>
      <c r="DI68" s="190">
        <f t="shared" si="327"/>
        <v>343.08999999999992</v>
      </c>
      <c r="DJ68" s="190">
        <f t="shared" si="327"/>
        <v>0</v>
      </c>
      <c r="DK68" s="104">
        <f t="shared" si="165"/>
        <v>425.78</v>
      </c>
      <c r="DL68" s="104">
        <f t="shared" si="166"/>
        <v>-11.239999999999995</v>
      </c>
      <c r="DM68" s="104">
        <f t="shared" si="2"/>
        <v>399.58000000000015</v>
      </c>
      <c r="DN68" s="104">
        <f t="shared" si="3"/>
        <v>9.7200000000000131</v>
      </c>
      <c r="DO68" s="22">
        <f t="shared" si="327"/>
        <v>1681.6399999999999</v>
      </c>
      <c r="DP68" s="22">
        <f t="shared" si="327"/>
        <v>54</v>
      </c>
      <c r="DQ68" s="22">
        <f t="shared" si="327"/>
        <v>1767</v>
      </c>
      <c r="DR68" s="22">
        <f t="shared" si="327"/>
        <v>100</v>
      </c>
    </row>
    <row r="69" spans="1:126" ht="18.75">
      <c r="A69" s="13">
        <v>51</v>
      </c>
      <c r="B69" s="13"/>
      <c r="C69" s="14"/>
      <c r="D69" s="15" t="s">
        <v>101</v>
      </c>
      <c r="E69" s="16"/>
      <c r="F69" s="81">
        <v>693.3</v>
      </c>
      <c r="G69" s="81">
        <v>39.65</v>
      </c>
      <c r="H69" s="81">
        <v>696.65</v>
      </c>
      <c r="I69" s="17">
        <v>34.26</v>
      </c>
      <c r="J69" s="86">
        <v>770</v>
      </c>
      <c r="K69" s="87">
        <v>0</v>
      </c>
      <c r="L69" s="87">
        <v>0</v>
      </c>
      <c r="M69" s="87">
        <f t="shared" si="246"/>
        <v>770</v>
      </c>
      <c r="N69" s="87">
        <v>0</v>
      </c>
      <c r="O69" s="87">
        <v>0</v>
      </c>
      <c r="P69" s="87">
        <v>0</v>
      </c>
      <c r="Q69" s="87">
        <f t="shared" si="297"/>
        <v>0</v>
      </c>
      <c r="R69" s="87">
        <f t="shared" si="135"/>
        <v>770</v>
      </c>
      <c r="S69" s="87">
        <v>20</v>
      </c>
      <c r="V69" s="17">
        <f t="shared" ref="V69:V70" si="328">ROUND(H69*1.0583,2)</f>
        <v>737.26</v>
      </c>
      <c r="W69" s="17">
        <f t="shared" ref="W69:W70" si="329">ROUND(I69*1.0327,2)</f>
        <v>35.380000000000003</v>
      </c>
      <c r="X69" s="108">
        <f t="shared" si="310"/>
        <v>32.740000000000009</v>
      </c>
      <c r="Y69" s="109">
        <f t="shared" si="311"/>
        <v>-15.380000000000003</v>
      </c>
      <c r="Z69" s="116">
        <v>737.26</v>
      </c>
      <c r="AA69" s="116"/>
      <c r="AB69" s="116">
        <f t="shared" si="312"/>
        <v>737.26</v>
      </c>
      <c r="AC69" s="109">
        <f t="shared" si="313"/>
        <v>0</v>
      </c>
      <c r="AD69" s="108">
        <f t="shared" ref="AD69:AD70" si="330">IF(X69&gt;0,V69,R69)</f>
        <v>737.26</v>
      </c>
      <c r="AE69" s="108">
        <f t="shared" ref="AE69:AE70" si="331">IF(Y69&gt;0,W69,S69)</f>
        <v>20</v>
      </c>
      <c r="AF69" s="108">
        <f t="shared" si="314"/>
        <v>18.04</v>
      </c>
      <c r="AG69" s="108">
        <f t="shared" si="315"/>
        <v>184</v>
      </c>
      <c r="AH69" s="108">
        <f t="shared" si="316"/>
        <v>5</v>
      </c>
      <c r="AI69" s="127">
        <f t="shared" si="317"/>
        <v>61</v>
      </c>
      <c r="AJ69" s="108">
        <f t="shared" si="318"/>
        <v>2</v>
      </c>
      <c r="AM69" s="108">
        <f t="shared" si="319"/>
        <v>184.32</v>
      </c>
      <c r="AN69" s="108">
        <f t="shared" si="320"/>
        <v>4.87</v>
      </c>
      <c r="AQ69" s="108">
        <f t="shared" si="321"/>
        <v>368.32</v>
      </c>
      <c r="AR69" s="108">
        <f t="shared" si="322"/>
        <v>9.870000000000001</v>
      </c>
      <c r="AU69" s="108">
        <f t="shared" si="302"/>
        <v>184.32</v>
      </c>
      <c r="AV69" s="108">
        <f>ROUND(AE69*25%,2)-0.87</f>
        <v>4.13</v>
      </c>
      <c r="AY69" s="108">
        <f t="shared" si="303"/>
        <v>613.64</v>
      </c>
      <c r="AZ69" s="108">
        <f t="shared" si="304"/>
        <v>16</v>
      </c>
      <c r="BA69" s="108">
        <f t="shared" si="305"/>
        <v>629.64</v>
      </c>
      <c r="BB69" s="139">
        <v>583.66</v>
      </c>
      <c r="BC69" s="139">
        <v>4.28</v>
      </c>
      <c r="BD69" s="139">
        <f t="shared" si="306"/>
        <v>29.980000000000018</v>
      </c>
      <c r="BE69" s="139">
        <f t="shared" si="307"/>
        <v>11.719999999999999</v>
      </c>
      <c r="BF69" s="139">
        <f t="shared" si="308"/>
        <v>116.73</v>
      </c>
      <c r="BG69" s="139">
        <f t="shared" si="309"/>
        <v>0.86</v>
      </c>
      <c r="BH69" s="108">
        <v>48.68</v>
      </c>
      <c r="BI69" s="108">
        <v>0</v>
      </c>
      <c r="BL69" s="108">
        <f t="shared" ref="BL69:BL132" si="332">+BH69+AY69+BJ69</f>
        <v>662.31999999999994</v>
      </c>
      <c r="BM69" s="108">
        <f t="shared" si="24"/>
        <v>16</v>
      </c>
      <c r="BN69" s="108">
        <f t="shared" si="25"/>
        <v>678.31999999999994</v>
      </c>
      <c r="BO69" s="108">
        <v>646.35</v>
      </c>
      <c r="BP69" s="127">
        <v>5.0999999999999996</v>
      </c>
      <c r="BQ69" s="108">
        <f t="shared" si="26"/>
        <v>15.969999999999914</v>
      </c>
      <c r="BR69" s="108">
        <f t="shared" si="27"/>
        <v>10.9</v>
      </c>
      <c r="BS69" s="108">
        <f t="shared" si="28"/>
        <v>58.76</v>
      </c>
      <c r="BT69" s="108">
        <f t="shared" si="29"/>
        <v>0.46</v>
      </c>
      <c r="BU69" s="108">
        <v>42.79</v>
      </c>
      <c r="BV69" s="108">
        <v>0</v>
      </c>
      <c r="BW69" s="109">
        <v>5.89</v>
      </c>
      <c r="CA69" s="108">
        <v>710.99999999999989</v>
      </c>
      <c r="CB69" s="108">
        <v>16</v>
      </c>
      <c r="CC69">
        <v>782.1</v>
      </c>
      <c r="CD69">
        <v>18.399999999999999</v>
      </c>
      <c r="CE69" s="189">
        <v>65</v>
      </c>
      <c r="CF69" s="189">
        <v>2</v>
      </c>
      <c r="CG69" s="189">
        <f t="shared" si="31"/>
        <v>177.75</v>
      </c>
      <c r="CH69" s="189">
        <f t="shared" si="32"/>
        <v>4</v>
      </c>
      <c r="CI69" s="150"/>
      <c r="CJ69" s="150"/>
      <c r="CK69" s="150">
        <f>220-20</f>
        <v>200</v>
      </c>
      <c r="CL69" s="150">
        <v>6</v>
      </c>
      <c r="CM69" s="150"/>
      <c r="CN69" s="150"/>
      <c r="CO69" s="150">
        <v>805</v>
      </c>
      <c r="CP69" s="150">
        <v>20</v>
      </c>
      <c r="CQ69" s="150">
        <f t="shared" si="33"/>
        <v>800</v>
      </c>
      <c r="CR69" s="150">
        <f t="shared" si="34"/>
        <v>24</v>
      </c>
      <c r="CS69" s="150">
        <f t="shared" si="35"/>
        <v>800</v>
      </c>
      <c r="CT69" s="150">
        <f t="shared" si="36"/>
        <v>20</v>
      </c>
      <c r="CU69" s="150">
        <f>IF(CQ69&lt;CS69,CQ69,CS69)+40</f>
        <v>840</v>
      </c>
      <c r="CV69" s="150">
        <f>IF(CR69&lt;CT69,CR69,CT69)+10</f>
        <v>30</v>
      </c>
      <c r="CW69" s="150">
        <f>ROUND(CU69*25%,2)+41.76</f>
        <v>251.76</v>
      </c>
      <c r="CX69" s="150">
        <v>22</v>
      </c>
      <c r="CY69" s="150">
        <v>70</v>
      </c>
      <c r="CZ69" s="150"/>
      <c r="DA69" s="150">
        <f t="shared" si="39"/>
        <v>586.76</v>
      </c>
      <c r="DB69" s="150">
        <f t="shared" si="40"/>
        <v>30</v>
      </c>
      <c r="DC69" s="150">
        <v>522.38</v>
      </c>
      <c r="DD69" s="150">
        <v>27.55</v>
      </c>
      <c r="DE69" s="150">
        <f t="shared" si="41"/>
        <v>64.38</v>
      </c>
      <c r="DF69" s="150">
        <f t="shared" si="42"/>
        <v>2.4499999999999993</v>
      </c>
      <c r="DG69" s="150">
        <f>ROUND(0.25*(MIN(CU69,DO69)),2)</f>
        <v>210</v>
      </c>
      <c r="DH69" s="150">
        <f>ROUND(0.25*(MIN(CV69,DP69)),2)</f>
        <v>7.5</v>
      </c>
      <c r="DI69" s="150">
        <v>210</v>
      </c>
      <c r="DJ69" s="150">
        <f>+DH69-DF69-2-3.05</f>
        <v>0</v>
      </c>
      <c r="DK69" s="104">
        <f t="shared" si="165"/>
        <v>73.940000000000055</v>
      </c>
      <c r="DL69" s="104">
        <f t="shared" si="166"/>
        <v>5</v>
      </c>
      <c r="DM69" s="104">
        <f t="shared" ref="DM69:DM132" si="333">+CU69-DA69-DI69</f>
        <v>43.240000000000009</v>
      </c>
      <c r="DN69" s="104">
        <f t="shared" ref="DN69:DN132" si="334">+CV69-DB69-DJ69</f>
        <v>0</v>
      </c>
      <c r="DO69" s="104">
        <v>870.7</v>
      </c>
      <c r="DP69" s="104">
        <v>35</v>
      </c>
      <c r="DQ69" s="104">
        <v>920.51</v>
      </c>
      <c r="DR69" s="104">
        <v>0</v>
      </c>
    </row>
    <row r="70" spans="1:126" ht="18.75">
      <c r="A70" s="13">
        <v>52</v>
      </c>
      <c r="B70" s="13"/>
      <c r="C70" s="14"/>
      <c r="D70" s="15" t="s">
        <v>102</v>
      </c>
      <c r="E70" s="16"/>
      <c r="F70" s="81">
        <v>1480.2900000000002</v>
      </c>
      <c r="G70" s="81">
        <v>0</v>
      </c>
      <c r="H70" s="81">
        <v>1480.2900000000002</v>
      </c>
      <c r="I70" s="17">
        <v>0</v>
      </c>
      <c r="J70" s="86">
        <v>1992</v>
      </c>
      <c r="K70" s="87">
        <v>0</v>
      </c>
      <c r="L70" s="87">
        <v>0</v>
      </c>
      <c r="M70" s="87">
        <f t="shared" si="246"/>
        <v>1992</v>
      </c>
      <c r="N70" s="87">
        <v>0</v>
      </c>
      <c r="O70" s="87">
        <v>0</v>
      </c>
      <c r="P70" s="87">
        <v>0</v>
      </c>
      <c r="Q70" s="87">
        <f t="shared" si="297"/>
        <v>0</v>
      </c>
      <c r="R70" s="87">
        <f t="shared" si="135"/>
        <v>1992</v>
      </c>
      <c r="S70" s="87">
        <v>0</v>
      </c>
      <c r="V70" s="17">
        <f t="shared" si="328"/>
        <v>1566.59</v>
      </c>
      <c r="W70" s="17">
        <f t="shared" si="329"/>
        <v>0</v>
      </c>
      <c r="X70" s="108">
        <f t="shared" si="310"/>
        <v>425.41000000000008</v>
      </c>
      <c r="Y70" s="108">
        <f t="shared" si="311"/>
        <v>0</v>
      </c>
      <c r="Z70" s="108">
        <v>1566.59</v>
      </c>
      <c r="AA70" s="108"/>
      <c r="AB70" s="108">
        <f t="shared" si="312"/>
        <v>1566.59</v>
      </c>
      <c r="AC70" s="109">
        <f t="shared" si="313"/>
        <v>0</v>
      </c>
      <c r="AD70" s="108">
        <f t="shared" si="330"/>
        <v>1566.59</v>
      </c>
      <c r="AE70" s="108">
        <f t="shared" si="331"/>
        <v>0</v>
      </c>
      <c r="AF70" s="108">
        <f t="shared" si="314"/>
        <v>0</v>
      </c>
      <c r="AG70" s="108">
        <f t="shared" si="315"/>
        <v>392</v>
      </c>
      <c r="AH70" s="108">
        <f t="shared" si="316"/>
        <v>0</v>
      </c>
      <c r="AI70" s="127">
        <f t="shared" si="317"/>
        <v>131</v>
      </c>
      <c r="AJ70" s="108">
        <f t="shared" si="318"/>
        <v>0</v>
      </c>
      <c r="AM70" s="108">
        <f t="shared" si="319"/>
        <v>391.65</v>
      </c>
      <c r="AN70" s="108">
        <f t="shared" si="320"/>
        <v>0</v>
      </c>
      <c r="AQ70" s="108">
        <f t="shared" si="321"/>
        <v>783.65</v>
      </c>
      <c r="AR70" s="108">
        <f t="shared" si="322"/>
        <v>0</v>
      </c>
      <c r="AU70" s="108">
        <f t="shared" si="302"/>
        <v>391.65</v>
      </c>
      <c r="AV70" s="108">
        <f t="shared" si="184"/>
        <v>0</v>
      </c>
      <c r="AY70" s="108">
        <f t="shared" si="303"/>
        <v>1306.3</v>
      </c>
      <c r="AZ70" s="108">
        <f t="shared" si="304"/>
        <v>0</v>
      </c>
      <c r="BA70" s="108">
        <f t="shared" si="305"/>
        <v>1306.3</v>
      </c>
      <c r="BB70" s="139">
        <v>1231.0899999999999</v>
      </c>
      <c r="BD70" s="139">
        <f t="shared" si="306"/>
        <v>75.210000000000036</v>
      </c>
      <c r="BE70" s="139">
        <f t="shared" si="307"/>
        <v>0</v>
      </c>
      <c r="BF70" s="139">
        <f t="shared" si="308"/>
        <v>246.22</v>
      </c>
      <c r="BG70" s="139">
        <f t="shared" si="309"/>
        <v>0</v>
      </c>
      <c r="BH70" s="108">
        <v>88.51</v>
      </c>
      <c r="BI70" s="108">
        <v>0</v>
      </c>
      <c r="BL70" s="108">
        <f t="shared" si="332"/>
        <v>1394.81</v>
      </c>
      <c r="BM70" s="108">
        <f t="shared" ref="BM70:BM133" si="335">+BI70+AZ70+BK70</f>
        <v>0</v>
      </c>
      <c r="BN70" s="108">
        <f t="shared" ref="BN70:BN133" si="336">BL70+BM70</f>
        <v>1394.81</v>
      </c>
      <c r="BO70" s="108">
        <v>1253.82</v>
      </c>
      <c r="BP70" s="127"/>
      <c r="BQ70" s="108">
        <f t="shared" ref="BQ70:BQ133" si="337">BL70-BO70</f>
        <v>140.99</v>
      </c>
      <c r="BR70" s="108">
        <f t="shared" ref="BR70:BR133" si="338">BM70-BP70</f>
        <v>0</v>
      </c>
      <c r="BS70" s="108">
        <f t="shared" ref="BS70:BS133" si="339">ROUND(BO70/11,2)</f>
        <v>113.98</v>
      </c>
      <c r="BT70" s="108">
        <f t="shared" ref="BT70:BT133" si="340">ROUND(BP70/11,2)</f>
        <v>0</v>
      </c>
      <c r="BU70" s="108">
        <v>0</v>
      </c>
      <c r="BV70" s="108">
        <f t="shared" si="128"/>
        <v>0</v>
      </c>
      <c r="BW70" s="109">
        <v>771.78</v>
      </c>
      <c r="CA70" s="108">
        <v>2166.59</v>
      </c>
      <c r="CB70" s="108">
        <v>0</v>
      </c>
      <c r="CC70">
        <v>2383.25</v>
      </c>
      <c r="CD70">
        <v>0</v>
      </c>
      <c r="CE70" s="189">
        <v>199</v>
      </c>
      <c r="CF70" s="189">
        <v>0</v>
      </c>
      <c r="CG70" s="189">
        <f t="shared" ref="CG70:CG133" si="341">ROUND(CA70/12*3,2)</f>
        <v>541.65</v>
      </c>
      <c r="CH70" s="189">
        <f t="shared" ref="CH70:CH133" si="342">ROUND(CB70/12*3,2)</f>
        <v>0</v>
      </c>
      <c r="CI70" s="150"/>
      <c r="CJ70" s="150"/>
      <c r="CK70" s="150">
        <v>440</v>
      </c>
      <c r="CL70" s="150"/>
      <c r="CM70" s="150"/>
      <c r="CN70" s="150"/>
      <c r="CO70" s="150">
        <v>2607</v>
      </c>
      <c r="CP70" s="150"/>
      <c r="CQ70" s="150">
        <f t="shared" ref="CQ70:CQ133" si="343">ROUND(CK70/3*12,2)</f>
        <v>1760</v>
      </c>
      <c r="CR70" s="150">
        <f t="shared" ref="CR70:CR133" si="344">ROUND(CL70/3*12,2)</f>
        <v>0</v>
      </c>
      <c r="CS70" s="150">
        <f t="shared" ref="CS70:CU133" si="345">IF(CO70&lt;CQ70,CO70,CQ70)</f>
        <v>1760</v>
      </c>
      <c r="CT70" s="150">
        <f t="shared" ref="CT70:CT133" si="346">IF(CP70&lt;CR70,CP70,CR70)</f>
        <v>0</v>
      </c>
      <c r="CU70" s="150">
        <f t="shared" ref="CU70" si="347">IF(CQ70&lt;CS70,CQ70,CS70)</f>
        <v>1760</v>
      </c>
      <c r="CV70" s="150">
        <f t="shared" ref="CV70" si="348">IF(CR70&lt;CT70,CR70,CT70)</f>
        <v>0</v>
      </c>
      <c r="CW70" s="150">
        <f t="shared" ref="CW70:CW133" si="349">ROUND(CU70*25%,2)</f>
        <v>440</v>
      </c>
      <c r="CX70" s="150">
        <f>ROUND(CV70*25%,2)</f>
        <v>0</v>
      </c>
      <c r="CY70" s="150"/>
      <c r="CZ70" s="150"/>
      <c r="DA70" s="150">
        <f t="shared" ref="DA70:DA133" si="350">+CY70+CW70+CM70+CK70+CE70</f>
        <v>1079</v>
      </c>
      <c r="DB70" s="150">
        <f t="shared" ref="DB70:DB133" si="351">+CZ70+CX70+CN70+CL70+CF70</f>
        <v>0</v>
      </c>
      <c r="DC70" s="150">
        <v>1079</v>
      </c>
      <c r="DD70" s="150"/>
      <c r="DE70" s="150">
        <f t="shared" ref="DE70:DE133" si="352">+DA70-DC70</f>
        <v>0</v>
      </c>
      <c r="DF70" s="150">
        <f t="shared" ref="DF70:DF133" si="353">+DB70-DD70</f>
        <v>0</v>
      </c>
      <c r="DG70" s="150">
        <f>ROUND(0.25*(MIN(CU70,DO70)),2)</f>
        <v>440</v>
      </c>
      <c r="DH70" s="150">
        <f>ROUND(0.25*(MIN(CV70,DP70)),2)</f>
        <v>0</v>
      </c>
      <c r="DI70" s="150">
        <f t="shared" ref="DI70:DI133" si="354">+DG70-DE70</f>
        <v>440</v>
      </c>
      <c r="DJ70" s="150">
        <f>+DH70-DF70</f>
        <v>0</v>
      </c>
      <c r="DK70" s="104">
        <f t="shared" si="165"/>
        <v>586.15000000000009</v>
      </c>
      <c r="DL70" s="104">
        <f t="shared" si="166"/>
        <v>0</v>
      </c>
      <c r="DM70" s="104">
        <f t="shared" si="333"/>
        <v>241</v>
      </c>
      <c r="DN70" s="104">
        <f t="shared" si="334"/>
        <v>0</v>
      </c>
      <c r="DO70" s="104">
        <v>2105.15</v>
      </c>
      <c r="DP70" s="104">
        <v>0</v>
      </c>
      <c r="DQ70" s="104">
        <v>2315.66</v>
      </c>
      <c r="DR70" s="104">
        <v>0</v>
      </c>
    </row>
    <row r="71" spans="1:126" ht="18.75">
      <c r="A71" s="18"/>
      <c r="B71" s="18" t="s">
        <v>103</v>
      </c>
      <c r="C71" s="19" t="s">
        <v>104</v>
      </c>
      <c r="D71" s="20" t="s">
        <v>101</v>
      </c>
      <c r="E71" s="21" t="s">
        <v>105</v>
      </c>
      <c r="F71" s="22">
        <v>2173.59</v>
      </c>
      <c r="G71" s="22">
        <v>39.65</v>
      </c>
      <c r="H71" s="22">
        <v>2176.94</v>
      </c>
      <c r="I71" s="22">
        <v>34.26</v>
      </c>
      <c r="J71" s="88">
        <f t="shared" ref="J71:AA71" si="355">+J69+J70</f>
        <v>2762</v>
      </c>
      <c r="K71" s="88">
        <f t="shared" si="355"/>
        <v>0</v>
      </c>
      <c r="L71" s="88">
        <f t="shared" si="355"/>
        <v>0</v>
      </c>
      <c r="M71" s="88">
        <f t="shared" si="355"/>
        <v>2762</v>
      </c>
      <c r="N71" s="88">
        <f t="shared" si="355"/>
        <v>0</v>
      </c>
      <c r="O71" s="88">
        <f t="shared" si="355"/>
        <v>0</v>
      </c>
      <c r="P71" s="88">
        <f t="shared" si="355"/>
        <v>0</v>
      </c>
      <c r="Q71" s="88">
        <f t="shared" si="355"/>
        <v>0</v>
      </c>
      <c r="R71" s="88">
        <f t="shared" si="355"/>
        <v>2762</v>
      </c>
      <c r="S71" s="88">
        <f t="shared" si="355"/>
        <v>20</v>
      </c>
      <c r="T71" s="88">
        <f t="shared" si="355"/>
        <v>0</v>
      </c>
      <c r="U71" s="88">
        <f t="shared" si="355"/>
        <v>0</v>
      </c>
      <c r="V71" s="88">
        <f t="shared" si="355"/>
        <v>2303.85</v>
      </c>
      <c r="W71" s="88">
        <f t="shared" si="355"/>
        <v>35.380000000000003</v>
      </c>
      <c r="X71" s="88">
        <f t="shared" si="355"/>
        <v>458.15000000000009</v>
      </c>
      <c r="Y71" s="88">
        <f t="shared" si="355"/>
        <v>-15.380000000000003</v>
      </c>
      <c r="Z71" s="88">
        <f t="shared" si="355"/>
        <v>2303.85</v>
      </c>
      <c r="AA71" s="88">
        <f t="shared" si="355"/>
        <v>0</v>
      </c>
      <c r="AB71" s="22">
        <f t="shared" si="312"/>
        <v>2303.85</v>
      </c>
      <c r="AC71" s="109">
        <f t="shared" si="313"/>
        <v>0</v>
      </c>
      <c r="AD71" s="22">
        <f t="shared" ref="AD71:CP71" si="356">+AD69+AD70</f>
        <v>2303.85</v>
      </c>
      <c r="AE71" s="22">
        <f t="shared" si="356"/>
        <v>20</v>
      </c>
      <c r="AF71" s="22">
        <f t="shared" si="356"/>
        <v>18.04</v>
      </c>
      <c r="AG71" s="22">
        <f t="shared" si="356"/>
        <v>576</v>
      </c>
      <c r="AH71" s="22">
        <f t="shared" si="356"/>
        <v>5</v>
      </c>
      <c r="AI71" s="118">
        <f t="shared" si="356"/>
        <v>192</v>
      </c>
      <c r="AJ71" s="22">
        <f t="shared" si="356"/>
        <v>2</v>
      </c>
      <c r="AK71" s="22">
        <f t="shared" si="356"/>
        <v>0</v>
      </c>
      <c r="AL71" s="22">
        <f t="shared" si="356"/>
        <v>0</v>
      </c>
      <c r="AM71" s="22">
        <f t="shared" si="356"/>
        <v>575.97</v>
      </c>
      <c r="AN71" s="22">
        <f t="shared" si="356"/>
        <v>4.87</v>
      </c>
      <c r="AO71" s="22">
        <f t="shared" si="356"/>
        <v>0</v>
      </c>
      <c r="AP71" s="22">
        <f t="shared" si="356"/>
        <v>0</v>
      </c>
      <c r="AQ71" s="22">
        <f t="shared" si="356"/>
        <v>1151.97</v>
      </c>
      <c r="AR71" s="22">
        <f t="shared" si="356"/>
        <v>9.870000000000001</v>
      </c>
      <c r="AS71" s="22">
        <f t="shared" si="356"/>
        <v>0</v>
      </c>
      <c r="AT71" s="22">
        <f t="shared" si="356"/>
        <v>0</v>
      </c>
      <c r="AU71" s="22">
        <f t="shared" si="356"/>
        <v>575.97</v>
      </c>
      <c r="AV71" s="22">
        <f t="shared" si="356"/>
        <v>4.13</v>
      </c>
      <c r="AW71" s="22">
        <f t="shared" si="356"/>
        <v>0</v>
      </c>
      <c r="AX71" s="22">
        <f t="shared" si="356"/>
        <v>0</v>
      </c>
      <c r="AY71" s="22">
        <f t="shared" si="356"/>
        <v>1919.94</v>
      </c>
      <c r="AZ71" s="22">
        <f t="shared" si="356"/>
        <v>16</v>
      </c>
      <c r="BA71" s="22">
        <f t="shared" si="356"/>
        <v>1935.94</v>
      </c>
      <c r="BB71" s="22">
        <f t="shared" si="356"/>
        <v>1814.75</v>
      </c>
      <c r="BC71" s="22">
        <f t="shared" si="356"/>
        <v>4.28</v>
      </c>
      <c r="BD71" s="22">
        <f t="shared" si="356"/>
        <v>105.19000000000005</v>
      </c>
      <c r="BE71" s="22">
        <f t="shared" si="356"/>
        <v>11.719999999999999</v>
      </c>
      <c r="BF71" s="22">
        <f t="shared" si="356"/>
        <v>362.95</v>
      </c>
      <c r="BG71" s="118">
        <f t="shared" si="356"/>
        <v>0.86</v>
      </c>
      <c r="BH71" s="118">
        <f t="shared" si="356"/>
        <v>137.19</v>
      </c>
      <c r="BI71" s="118">
        <f t="shared" si="356"/>
        <v>0</v>
      </c>
      <c r="BJ71" s="118">
        <f t="shared" si="356"/>
        <v>0</v>
      </c>
      <c r="BK71" s="118">
        <f t="shared" si="356"/>
        <v>0</v>
      </c>
      <c r="BL71" s="118">
        <f t="shared" si="356"/>
        <v>2057.13</v>
      </c>
      <c r="BM71" s="118">
        <f t="shared" si="356"/>
        <v>16</v>
      </c>
      <c r="BN71" s="118">
        <f t="shared" si="356"/>
        <v>2073.13</v>
      </c>
      <c r="BO71" s="118">
        <f t="shared" si="356"/>
        <v>1900.17</v>
      </c>
      <c r="BP71" s="118">
        <f t="shared" si="356"/>
        <v>5.0999999999999996</v>
      </c>
      <c r="BQ71" s="22">
        <f t="shared" si="356"/>
        <v>156.95999999999992</v>
      </c>
      <c r="BR71" s="22">
        <f t="shared" si="356"/>
        <v>10.9</v>
      </c>
      <c r="BS71" s="22">
        <f t="shared" si="356"/>
        <v>172.74</v>
      </c>
      <c r="BT71" s="22">
        <f t="shared" si="356"/>
        <v>0.46</v>
      </c>
      <c r="BU71" s="22">
        <f t="shared" si="356"/>
        <v>42.79</v>
      </c>
      <c r="BV71" s="22">
        <f t="shared" si="356"/>
        <v>0</v>
      </c>
      <c r="BW71" s="22">
        <f t="shared" si="356"/>
        <v>777.67</v>
      </c>
      <c r="BX71" s="22">
        <f t="shared" si="356"/>
        <v>0</v>
      </c>
      <c r="BY71" s="22">
        <f t="shared" si="356"/>
        <v>0</v>
      </c>
      <c r="BZ71" s="22">
        <f t="shared" si="356"/>
        <v>0</v>
      </c>
      <c r="CA71" s="22">
        <f t="shared" si="356"/>
        <v>2877.59</v>
      </c>
      <c r="CB71" s="22">
        <f t="shared" si="356"/>
        <v>16</v>
      </c>
      <c r="CC71" s="22">
        <f t="shared" si="356"/>
        <v>3165.35</v>
      </c>
      <c r="CD71" s="118">
        <f t="shared" si="356"/>
        <v>18.399999999999999</v>
      </c>
      <c r="CE71" s="190">
        <f t="shared" si="356"/>
        <v>264</v>
      </c>
      <c r="CF71" s="190">
        <f t="shared" si="356"/>
        <v>2</v>
      </c>
      <c r="CG71" s="190">
        <f t="shared" si="356"/>
        <v>719.4</v>
      </c>
      <c r="CH71" s="190">
        <f t="shared" si="356"/>
        <v>4</v>
      </c>
      <c r="CI71" s="190">
        <f t="shared" si="356"/>
        <v>0</v>
      </c>
      <c r="CJ71" s="190">
        <f t="shared" si="356"/>
        <v>0</v>
      </c>
      <c r="CK71" s="190">
        <f t="shared" si="356"/>
        <v>640</v>
      </c>
      <c r="CL71" s="190">
        <f t="shared" si="356"/>
        <v>6</v>
      </c>
      <c r="CM71" s="190">
        <f t="shared" si="356"/>
        <v>0</v>
      </c>
      <c r="CN71" s="190">
        <f t="shared" si="356"/>
        <v>0</v>
      </c>
      <c r="CO71" s="190">
        <f t="shared" si="356"/>
        <v>3412</v>
      </c>
      <c r="CP71" s="190">
        <f t="shared" si="356"/>
        <v>20</v>
      </c>
      <c r="CQ71" s="190">
        <f t="shared" ref="CQ71:DO71" si="357">+CQ69+CQ70</f>
        <v>2560</v>
      </c>
      <c r="CR71" s="190">
        <f t="shared" si="357"/>
        <v>24</v>
      </c>
      <c r="CS71" s="190">
        <f t="shared" si="357"/>
        <v>2560</v>
      </c>
      <c r="CT71" s="190">
        <f t="shared" si="357"/>
        <v>20</v>
      </c>
      <c r="CU71" s="190">
        <f t="shared" si="357"/>
        <v>2600</v>
      </c>
      <c r="CV71" s="190">
        <f t="shared" si="357"/>
        <v>30</v>
      </c>
      <c r="CW71" s="190">
        <f t="shared" si="357"/>
        <v>691.76</v>
      </c>
      <c r="CX71" s="190">
        <f t="shared" si="357"/>
        <v>22</v>
      </c>
      <c r="CY71" s="190">
        <f t="shared" si="357"/>
        <v>70</v>
      </c>
      <c r="CZ71" s="190">
        <f t="shared" si="357"/>
        <v>0</v>
      </c>
      <c r="DA71" s="190">
        <f t="shared" si="357"/>
        <v>1665.76</v>
      </c>
      <c r="DB71" s="190">
        <f t="shared" si="357"/>
        <v>30</v>
      </c>
      <c r="DC71" s="190">
        <f t="shared" si="357"/>
        <v>1601.38</v>
      </c>
      <c r="DD71" s="190">
        <f t="shared" si="357"/>
        <v>27.55</v>
      </c>
      <c r="DE71" s="190">
        <f t="shared" si="357"/>
        <v>64.38</v>
      </c>
      <c r="DF71" s="190">
        <f t="shared" si="357"/>
        <v>2.4499999999999993</v>
      </c>
      <c r="DG71" s="190">
        <f t="shared" si="357"/>
        <v>650</v>
      </c>
      <c r="DH71" s="190">
        <f t="shared" si="357"/>
        <v>7.5</v>
      </c>
      <c r="DI71" s="190">
        <f t="shared" si="357"/>
        <v>650</v>
      </c>
      <c r="DJ71" s="190">
        <f t="shared" si="357"/>
        <v>0</v>
      </c>
      <c r="DK71" s="104">
        <f t="shared" si="165"/>
        <v>660.09000000000037</v>
      </c>
      <c r="DL71" s="104">
        <f t="shared" si="166"/>
        <v>5</v>
      </c>
      <c r="DM71" s="104">
        <f t="shared" si="333"/>
        <v>284.24</v>
      </c>
      <c r="DN71" s="104">
        <f t="shared" si="334"/>
        <v>0</v>
      </c>
      <c r="DO71" s="22">
        <f t="shared" si="357"/>
        <v>2975.8500000000004</v>
      </c>
      <c r="DP71" s="22">
        <f t="shared" ref="DP71:DT71" si="358">+DP69+DP70</f>
        <v>35</v>
      </c>
      <c r="DQ71" s="22">
        <f t="shared" si="358"/>
        <v>3236.17</v>
      </c>
      <c r="DR71" s="22">
        <f t="shared" si="358"/>
        <v>0</v>
      </c>
      <c r="DS71" s="22">
        <f t="shared" si="358"/>
        <v>0</v>
      </c>
      <c r="DT71" s="22">
        <f t="shared" si="358"/>
        <v>0</v>
      </c>
    </row>
    <row r="72" spans="1:126" ht="18.75">
      <c r="A72" s="13">
        <v>53</v>
      </c>
      <c r="B72" s="13"/>
      <c r="C72" s="14"/>
      <c r="D72" s="15" t="s">
        <v>106</v>
      </c>
      <c r="E72" s="16"/>
      <c r="F72" s="81">
        <v>2132.9800000000005</v>
      </c>
      <c r="G72" s="81">
        <v>194.81</v>
      </c>
      <c r="H72" s="81">
        <v>2132.9800000000005</v>
      </c>
      <c r="I72" s="17">
        <v>205</v>
      </c>
      <c r="J72" s="86">
        <v>1800</v>
      </c>
      <c r="K72" s="87">
        <v>510</v>
      </c>
      <c r="L72" s="87">
        <v>0</v>
      </c>
      <c r="M72" s="87">
        <f t="shared" si="246"/>
        <v>2310</v>
      </c>
      <c r="N72" s="87">
        <v>0</v>
      </c>
      <c r="O72" s="87">
        <v>0</v>
      </c>
      <c r="P72" s="87">
        <v>0</v>
      </c>
      <c r="Q72" s="87">
        <f t="shared" ref="Q72:Q74" si="359">N72+O72+P72</f>
        <v>0</v>
      </c>
      <c r="R72" s="87">
        <f t="shared" si="135"/>
        <v>2310</v>
      </c>
      <c r="S72" s="87">
        <v>200</v>
      </c>
      <c r="V72" s="17">
        <f t="shared" ref="V72:V73" si="360">ROUND(H72*1.0583,2)</f>
        <v>2257.33</v>
      </c>
      <c r="W72" s="17">
        <f t="shared" ref="W72:W73" si="361">ROUND(I72*1.0327,2)</f>
        <v>211.7</v>
      </c>
      <c r="X72" s="108">
        <f t="shared" si="310"/>
        <v>52.670000000000073</v>
      </c>
      <c r="Y72" s="109">
        <f t="shared" si="311"/>
        <v>-11.699999999999989</v>
      </c>
      <c r="Z72" s="116">
        <v>2257.33</v>
      </c>
      <c r="AA72" s="116"/>
      <c r="AB72" s="116">
        <f t="shared" si="312"/>
        <v>2257.33</v>
      </c>
      <c r="AC72" s="109">
        <f t="shared" si="313"/>
        <v>0</v>
      </c>
      <c r="AD72" s="108">
        <f t="shared" ref="AD72" si="362">IF(X72&gt;0,V72,R72)</f>
        <v>2257.33</v>
      </c>
      <c r="AE72" s="108">
        <f t="shared" ref="AE72" si="363">IF(Y72&gt;0,W72,S72)</f>
        <v>200</v>
      </c>
      <c r="AF72" s="108">
        <f t="shared" si="314"/>
        <v>180.44</v>
      </c>
      <c r="AG72" s="108">
        <f t="shared" si="315"/>
        <v>564</v>
      </c>
      <c r="AH72" s="108">
        <f t="shared" si="316"/>
        <v>50</v>
      </c>
      <c r="AI72" s="127">
        <f t="shared" si="317"/>
        <v>188</v>
      </c>
      <c r="AJ72" s="108">
        <f t="shared" si="318"/>
        <v>17</v>
      </c>
      <c r="AM72" s="108">
        <f t="shared" si="319"/>
        <v>564.33000000000004</v>
      </c>
      <c r="AN72" s="108">
        <f t="shared" si="320"/>
        <v>48.7</v>
      </c>
      <c r="AQ72" s="108">
        <f t="shared" si="321"/>
        <v>1128.33</v>
      </c>
      <c r="AR72" s="108">
        <f t="shared" si="322"/>
        <v>98.7</v>
      </c>
      <c r="AT72" s="138"/>
      <c r="AU72" s="138">
        <f t="shared" si="302"/>
        <v>564.33000000000004</v>
      </c>
      <c r="AV72" s="138">
        <f>ROUND(AE72*25%,2)+34.3</f>
        <v>84.3</v>
      </c>
      <c r="AW72" s="138"/>
      <c r="AX72" s="138"/>
      <c r="AY72" s="108">
        <f t="shared" si="303"/>
        <v>1880.6599999999999</v>
      </c>
      <c r="AZ72" s="108">
        <f t="shared" si="304"/>
        <v>200</v>
      </c>
      <c r="BA72" s="108">
        <f t="shared" si="305"/>
        <v>2080.66</v>
      </c>
      <c r="BB72" s="139">
        <v>1762.09</v>
      </c>
      <c r="BC72" s="139">
        <v>195.34</v>
      </c>
      <c r="BD72" s="139">
        <f t="shared" si="306"/>
        <v>118.56999999999994</v>
      </c>
      <c r="BE72" s="139">
        <f t="shared" si="307"/>
        <v>4.6599999999999966</v>
      </c>
      <c r="BF72" s="139">
        <f t="shared" si="308"/>
        <v>352.42</v>
      </c>
      <c r="BG72" s="139">
        <f t="shared" si="309"/>
        <v>39.07</v>
      </c>
      <c r="BH72" s="108">
        <v>116.93</v>
      </c>
      <c r="BI72" s="108">
        <v>15</v>
      </c>
      <c r="BL72" s="108">
        <f t="shared" si="332"/>
        <v>1997.59</v>
      </c>
      <c r="BM72" s="108">
        <f t="shared" si="335"/>
        <v>215</v>
      </c>
      <c r="BN72" s="108">
        <f t="shared" si="336"/>
        <v>2212.59</v>
      </c>
      <c r="BO72" s="108">
        <v>1946.83</v>
      </c>
      <c r="BP72" s="127">
        <v>197.76</v>
      </c>
      <c r="BQ72" s="108">
        <f t="shared" si="337"/>
        <v>50.759999999999991</v>
      </c>
      <c r="BR72" s="108">
        <f t="shared" si="338"/>
        <v>17.240000000000009</v>
      </c>
      <c r="BS72" s="108">
        <f t="shared" si="339"/>
        <v>176.98</v>
      </c>
      <c r="BT72" s="108">
        <f t="shared" si="340"/>
        <v>17.98</v>
      </c>
      <c r="BU72" s="108">
        <f t="shared" ref="BU72:BU111" si="364">BS72-BQ72</f>
        <v>126.22</v>
      </c>
      <c r="BV72" s="108">
        <v>0</v>
      </c>
      <c r="BW72" s="109">
        <v>24.23</v>
      </c>
      <c r="BX72" s="108">
        <v>11.97</v>
      </c>
      <c r="CA72" s="108">
        <v>2148.04</v>
      </c>
      <c r="CB72" s="108">
        <v>226.97</v>
      </c>
      <c r="CC72">
        <v>2362.84</v>
      </c>
      <c r="CD72">
        <v>261.02</v>
      </c>
      <c r="CE72" s="189">
        <v>197</v>
      </c>
      <c r="CF72" s="189">
        <v>22</v>
      </c>
      <c r="CG72" s="189">
        <f t="shared" si="341"/>
        <v>537.01</v>
      </c>
      <c r="CH72" s="189">
        <f t="shared" si="342"/>
        <v>56.74</v>
      </c>
      <c r="CI72" s="150"/>
      <c r="CJ72" s="150"/>
      <c r="CK72" s="150">
        <v>600</v>
      </c>
      <c r="CL72" s="150">
        <f>220-100</f>
        <v>120</v>
      </c>
      <c r="CM72" s="150"/>
      <c r="CN72" s="150"/>
      <c r="CO72" s="150">
        <v>2500</v>
      </c>
      <c r="CP72" s="150">
        <v>300</v>
      </c>
      <c r="CQ72" s="150">
        <f t="shared" si="343"/>
        <v>2400</v>
      </c>
      <c r="CR72" s="150">
        <f t="shared" si="344"/>
        <v>480</v>
      </c>
      <c r="CS72" s="150">
        <f t="shared" si="345"/>
        <v>2400</v>
      </c>
      <c r="CT72" s="150">
        <f t="shared" si="346"/>
        <v>300</v>
      </c>
      <c r="CU72" s="150">
        <v>2400</v>
      </c>
      <c r="CV72" s="150">
        <v>300</v>
      </c>
      <c r="CW72" s="150">
        <f t="shared" si="349"/>
        <v>600</v>
      </c>
      <c r="CX72" s="150">
        <f>ROUND(CV72*25%,2)-60</f>
        <v>15</v>
      </c>
      <c r="CY72" s="150"/>
      <c r="CZ72" s="150"/>
      <c r="DA72" s="150">
        <f t="shared" si="350"/>
        <v>1397</v>
      </c>
      <c r="DB72" s="150">
        <f t="shared" si="351"/>
        <v>157</v>
      </c>
      <c r="DC72" s="150">
        <v>1374</v>
      </c>
      <c r="DD72" s="150">
        <v>293.99</v>
      </c>
      <c r="DE72" s="150">
        <f t="shared" si="352"/>
        <v>23</v>
      </c>
      <c r="DF72" s="150">
        <f t="shared" si="353"/>
        <v>-136.99</v>
      </c>
      <c r="DG72" s="150">
        <f t="shared" ref="DG72:DH74" si="365">ROUND(0.25*(MIN(CU72,DO72)),2)</f>
        <v>595</v>
      </c>
      <c r="DH72" s="150">
        <f t="shared" si="365"/>
        <v>60</v>
      </c>
      <c r="DI72" s="150">
        <f t="shared" si="354"/>
        <v>572</v>
      </c>
      <c r="DJ72" s="150">
        <f>+DH72-DF72-115</f>
        <v>81.990000000000009</v>
      </c>
      <c r="DK72" s="104">
        <f t="shared" si="165"/>
        <v>411</v>
      </c>
      <c r="DL72" s="104">
        <f t="shared" si="166"/>
        <v>1.0099999999999909</v>
      </c>
      <c r="DM72" s="104">
        <f t="shared" si="333"/>
        <v>431</v>
      </c>
      <c r="DN72" s="104">
        <f t="shared" si="334"/>
        <v>61.009999999999991</v>
      </c>
      <c r="DO72" s="104">
        <v>2380</v>
      </c>
      <c r="DP72" s="104">
        <v>240</v>
      </c>
      <c r="DQ72" s="104">
        <v>2608</v>
      </c>
      <c r="DR72" s="104">
        <v>380</v>
      </c>
    </row>
    <row r="73" spans="1:126" ht="18.75">
      <c r="A73" s="13">
        <v>54</v>
      </c>
      <c r="B73" s="13"/>
      <c r="C73" s="14"/>
      <c r="D73" s="145" t="s">
        <v>561</v>
      </c>
      <c r="E73" s="16"/>
      <c r="F73" s="81">
        <v>900.8</v>
      </c>
      <c r="G73" s="81">
        <v>0</v>
      </c>
      <c r="H73" s="81">
        <v>1054.0999999999999</v>
      </c>
      <c r="I73" s="17">
        <v>0</v>
      </c>
      <c r="J73" s="86">
        <v>1212.22</v>
      </c>
      <c r="K73" s="87">
        <v>0</v>
      </c>
      <c r="L73" s="87">
        <v>0</v>
      </c>
      <c r="M73" s="87">
        <f t="shared" si="246"/>
        <v>1212.22</v>
      </c>
      <c r="N73" s="87">
        <v>0</v>
      </c>
      <c r="O73" s="87">
        <v>0</v>
      </c>
      <c r="P73" s="87">
        <v>0</v>
      </c>
      <c r="Q73" s="87">
        <f t="shared" si="359"/>
        <v>0</v>
      </c>
      <c r="R73" s="87">
        <f t="shared" si="135"/>
        <v>1212.22</v>
      </c>
      <c r="S73" s="87">
        <v>0</v>
      </c>
      <c r="V73" s="17">
        <f t="shared" si="360"/>
        <v>1115.55</v>
      </c>
      <c r="W73" s="17">
        <f t="shared" si="361"/>
        <v>0</v>
      </c>
      <c r="X73" s="108">
        <f t="shared" si="310"/>
        <v>96.670000000000073</v>
      </c>
      <c r="Y73" s="108">
        <f t="shared" si="311"/>
        <v>0</v>
      </c>
      <c r="Z73" s="116">
        <v>1538.04</v>
      </c>
      <c r="AA73" s="116">
        <v>70</v>
      </c>
      <c r="AB73" s="116">
        <f t="shared" si="312"/>
        <v>1608.04</v>
      </c>
      <c r="AC73" s="109">
        <v>0</v>
      </c>
      <c r="AD73" s="108">
        <v>1608.04</v>
      </c>
      <c r="AE73" s="108">
        <v>0</v>
      </c>
      <c r="AF73" s="108">
        <v>0</v>
      </c>
      <c r="AG73" s="108">
        <v>402</v>
      </c>
      <c r="AH73" s="108">
        <v>0</v>
      </c>
      <c r="AI73" s="127">
        <v>134</v>
      </c>
      <c r="AJ73" s="108">
        <v>0</v>
      </c>
      <c r="AM73" s="108">
        <v>402.01</v>
      </c>
      <c r="AN73" s="108">
        <v>0</v>
      </c>
      <c r="AQ73" s="108">
        <f t="shared" si="321"/>
        <v>804.01</v>
      </c>
      <c r="AR73" s="108">
        <v>0</v>
      </c>
      <c r="AT73" s="138"/>
      <c r="AU73" s="138">
        <v>133.99</v>
      </c>
      <c r="AV73" s="138">
        <v>0</v>
      </c>
      <c r="AW73" s="138"/>
      <c r="AX73" s="138"/>
      <c r="AY73" s="108">
        <f t="shared" si="303"/>
        <v>1072</v>
      </c>
      <c r="AZ73" s="108">
        <f t="shared" si="304"/>
        <v>0</v>
      </c>
      <c r="BA73" s="108">
        <f t="shared" si="305"/>
        <v>1072</v>
      </c>
      <c r="BB73" s="139">
        <v>990.77</v>
      </c>
      <c r="BD73" s="139">
        <f t="shared" si="306"/>
        <v>81.230000000000018</v>
      </c>
      <c r="BE73" s="139">
        <f t="shared" si="307"/>
        <v>0</v>
      </c>
      <c r="BF73" s="139">
        <f t="shared" si="308"/>
        <v>198.15</v>
      </c>
      <c r="BG73" s="139">
        <f t="shared" si="309"/>
        <v>0</v>
      </c>
      <c r="BH73" s="108">
        <v>58.46</v>
      </c>
      <c r="BI73" s="108">
        <v>0</v>
      </c>
      <c r="BL73" s="108">
        <f t="shared" si="332"/>
        <v>1130.46</v>
      </c>
      <c r="BM73" s="108">
        <f t="shared" si="335"/>
        <v>0</v>
      </c>
      <c r="BN73" s="108">
        <f t="shared" si="336"/>
        <v>1130.46</v>
      </c>
      <c r="BO73" s="108">
        <v>1008.45</v>
      </c>
      <c r="BP73" s="127"/>
      <c r="BQ73" s="108">
        <f t="shared" si="337"/>
        <v>122.00999999999999</v>
      </c>
      <c r="BR73" s="108">
        <f t="shared" si="338"/>
        <v>0</v>
      </c>
      <c r="BS73" s="108">
        <f t="shared" si="339"/>
        <v>91.68</v>
      </c>
      <c r="BT73" s="108">
        <f t="shared" si="340"/>
        <v>0</v>
      </c>
      <c r="BU73" s="108">
        <f t="shared" si="364"/>
        <v>-30.329999999999984</v>
      </c>
      <c r="BV73" s="108">
        <f t="shared" si="128"/>
        <v>0</v>
      </c>
      <c r="BW73" s="109">
        <v>437.91</v>
      </c>
      <c r="CA73" s="108">
        <v>1538.0400000000002</v>
      </c>
      <c r="CB73" s="108">
        <v>0</v>
      </c>
      <c r="CC73">
        <v>1691.84</v>
      </c>
      <c r="CD73">
        <v>0</v>
      </c>
      <c r="CE73" s="189">
        <v>141</v>
      </c>
      <c r="CF73" s="189">
        <v>0</v>
      </c>
      <c r="CG73" s="189">
        <f t="shared" si="341"/>
        <v>384.51</v>
      </c>
      <c r="CH73" s="189">
        <f t="shared" si="342"/>
        <v>0</v>
      </c>
      <c r="CI73" s="150"/>
      <c r="CJ73" s="150"/>
      <c r="CK73" s="150">
        <v>423</v>
      </c>
      <c r="CL73" s="150">
        <v>0</v>
      </c>
      <c r="CM73" s="150"/>
      <c r="CN73" s="150"/>
      <c r="CO73" s="150">
        <v>1768.74</v>
      </c>
      <c r="CP73" s="150"/>
      <c r="CQ73" s="150">
        <f t="shared" si="343"/>
        <v>1692</v>
      </c>
      <c r="CR73" s="150">
        <f t="shared" si="344"/>
        <v>0</v>
      </c>
      <c r="CS73" s="150">
        <f t="shared" si="345"/>
        <v>1692</v>
      </c>
      <c r="CT73" s="150">
        <f t="shared" si="346"/>
        <v>0</v>
      </c>
      <c r="CU73" s="150">
        <v>1692</v>
      </c>
      <c r="CV73" s="150">
        <v>0</v>
      </c>
      <c r="CW73" s="150">
        <f t="shared" si="349"/>
        <v>423</v>
      </c>
      <c r="CX73" s="150">
        <f t="shared" ref="CX73:CX106" si="366">ROUND(CV73*25%,2)</f>
        <v>0</v>
      </c>
      <c r="CY73" s="150"/>
      <c r="CZ73" s="150"/>
      <c r="DA73" s="150">
        <f t="shared" si="350"/>
        <v>987</v>
      </c>
      <c r="DB73" s="150">
        <f t="shared" si="351"/>
        <v>0</v>
      </c>
      <c r="DC73" s="150">
        <v>987</v>
      </c>
      <c r="DD73" s="150">
        <v>0</v>
      </c>
      <c r="DE73" s="150">
        <f t="shared" si="352"/>
        <v>0</v>
      </c>
      <c r="DF73" s="150">
        <f t="shared" si="353"/>
        <v>0</v>
      </c>
      <c r="DG73" s="150">
        <f t="shared" si="365"/>
        <v>423</v>
      </c>
      <c r="DH73" s="150">
        <f t="shared" si="365"/>
        <v>0</v>
      </c>
      <c r="DI73" s="150">
        <f t="shared" si="354"/>
        <v>423</v>
      </c>
      <c r="DJ73" s="150">
        <f>+DH73-DF73</f>
        <v>0</v>
      </c>
      <c r="DK73" s="104">
        <f t="shared" si="165"/>
        <v>282</v>
      </c>
      <c r="DL73" s="104">
        <f t="shared" si="166"/>
        <v>0</v>
      </c>
      <c r="DM73" s="104">
        <f t="shared" si="333"/>
        <v>282</v>
      </c>
      <c r="DN73" s="104">
        <f t="shared" si="334"/>
        <v>0</v>
      </c>
      <c r="DO73" s="104">
        <v>1692</v>
      </c>
      <c r="DP73" s="104">
        <v>0</v>
      </c>
      <c r="DQ73" s="104">
        <v>1750</v>
      </c>
      <c r="DR73" s="104">
        <v>0</v>
      </c>
    </row>
    <row r="74" spans="1:126" ht="18.75">
      <c r="A74" s="13">
        <v>56</v>
      </c>
      <c r="B74" s="13"/>
      <c r="C74" s="14"/>
      <c r="D74" s="15" t="s">
        <v>107</v>
      </c>
      <c r="E74" s="16"/>
      <c r="F74" s="81">
        <v>333.96999999999997</v>
      </c>
      <c r="G74" s="81">
        <v>0</v>
      </c>
      <c r="H74" s="81">
        <v>373.27</v>
      </c>
      <c r="I74" s="17">
        <v>0</v>
      </c>
      <c r="J74" s="86">
        <v>429.26</v>
      </c>
      <c r="K74" s="87">
        <v>0</v>
      </c>
      <c r="L74" s="87">
        <v>0</v>
      </c>
      <c r="M74" s="87">
        <f t="shared" si="246"/>
        <v>429.26</v>
      </c>
      <c r="N74" s="87">
        <v>0</v>
      </c>
      <c r="O74" s="87">
        <v>0</v>
      </c>
      <c r="P74" s="87">
        <v>0</v>
      </c>
      <c r="Q74" s="87">
        <f t="shared" si="359"/>
        <v>0</v>
      </c>
      <c r="R74" s="87">
        <f t="shared" si="135"/>
        <v>429.26</v>
      </c>
      <c r="S74" s="87">
        <v>0</v>
      </c>
      <c r="V74" s="17">
        <f t="shared" ref="V74" si="367">ROUND(H74*1.0583,2)</f>
        <v>395.03</v>
      </c>
      <c r="W74" s="17">
        <f t="shared" ref="W74" si="368">ROUND(I74*1.0327,2)</f>
        <v>0</v>
      </c>
      <c r="X74" s="108">
        <f t="shared" si="310"/>
        <v>34.230000000000018</v>
      </c>
      <c r="Y74" s="108">
        <f t="shared" si="311"/>
        <v>0</v>
      </c>
      <c r="Z74" s="108">
        <v>395.03</v>
      </c>
      <c r="AA74" s="108"/>
      <c r="AB74" s="108">
        <f t="shared" si="312"/>
        <v>395.03</v>
      </c>
      <c r="AC74" s="109">
        <f t="shared" si="313"/>
        <v>0</v>
      </c>
      <c r="AD74" s="108">
        <v>395.03</v>
      </c>
      <c r="AE74" s="108">
        <v>0</v>
      </c>
      <c r="AF74" s="108">
        <v>0</v>
      </c>
      <c r="AG74" s="108">
        <v>99</v>
      </c>
      <c r="AH74" s="108">
        <v>0</v>
      </c>
      <c r="AI74" s="127">
        <v>33</v>
      </c>
      <c r="AJ74" s="108">
        <v>0</v>
      </c>
      <c r="AM74" s="108">
        <v>98.76</v>
      </c>
      <c r="AN74" s="108">
        <v>0</v>
      </c>
      <c r="AQ74" s="108">
        <f t="shared" si="321"/>
        <v>197.76</v>
      </c>
      <c r="AR74" s="108">
        <v>0</v>
      </c>
      <c r="AT74" s="138"/>
      <c r="AU74" s="138">
        <v>98.76</v>
      </c>
      <c r="AV74" s="138">
        <v>0</v>
      </c>
      <c r="AW74" s="138"/>
      <c r="AX74" s="138"/>
      <c r="AY74" s="108">
        <f t="shared" si="303"/>
        <v>329.52</v>
      </c>
      <c r="AZ74" s="108">
        <f t="shared" si="304"/>
        <v>0</v>
      </c>
      <c r="BA74" s="108">
        <f t="shared" si="305"/>
        <v>329.52</v>
      </c>
      <c r="BB74" s="139">
        <v>300.99</v>
      </c>
      <c r="BD74" s="139">
        <f t="shared" si="306"/>
        <v>28.529999999999973</v>
      </c>
      <c r="BE74" s="139">
        <f t="shared" si="307"/>
        <v>0</v>
      </c>
      <c r="BF74" s="139">
        <f t="shared" si="308"/>
        <v>60.2</v>
      </c>
      <c r="BG74" s="139">
        <f t="shared" si="309"/>
        <v>0</v>
      </c>
      <c r="BH74" s="108">
        <v>15.84</v>
      </c>
      <c r="BI74" s="108">
        <v>0</v>
      </c>
      <c r="BL74" s="108">
        <f t="shared" si="332"/>
        <v>345.35999999999996</v>
      </c>
      <c r="BM74" s="108">
        <f t="shared" si="335"/>
        <v>0</v>
      </c>
      <c r="BN74" s="108">
        <f t="shared" si="336"/>
        <v>345.35999999999996</v>
      </c>
      <c r="BO74" s="108">
        <v>300.99</v>
      </c>
      <c r="BP74" s="127"/>
      <c r="BQ74" s="108">
        <f t="shared" si="337"/>
        <v>44.369999999999948</v>
      </c>
      <c r="BR74" s="108">
        <f t="shared" si="338"/>
        <v>0</v>
      </c>
      <c r="BS74" s="108">
        <f t="shared" si="339"/>
        <v>27.36</v>
      </c>
      <c r="BT74" s="108">
        <f t="shared" si="340"/>
        <v>0</v>
      </c>
      <c r="BU74" s="108">
        <f t="shared" si="364"/>
        <v>-17.009999999999948</v>
      </c>
      <c r="BV74" s="108">
        <f t="shared" si="128"/>
        <v>0</v>
      </c>
      <c r="BW74" s="109">
        <v>418.57</v>
      </c>
      <c r="CA74" s="108">
        <v>746.92000000000007</v>
      </c>
      <c r="CB74" s="108">
        <v>0</v>
      </c>
      <c r="CC74">
        <v>821.61</v>
      </c>
      <c r="CD74">
        <v>0</v>
      </c>
      <c r="CE74" s="189">
        <v>68</v>
      </c>
      <c r="CF74" s="189">
        <v>0</v>
      </c>
      <c r="CG74" s="189">
        <f t="shared" si="341"/>
        <v>186.73</v>
      </c>
      <c r="CH74" s="189">
        <f t="shared" si="342"/>
        <v>0</v>
      </c>
      <c r="CI74" s="150"/>
      <c r="CJ74" s="150"/>
      <c r="CK74" s="150">
        <v>204</v>
      </c>
      <c r="CL74" s="150">
        <v>0</v>
      </c>
      <c r="CM74" s="150"/>
      <c r="CN74" s="150"/>
      <c r="CO74" s="150">
        <v>454.28</v>
      </c>
      <c r="CP74" s="150"/>
      <c r="CQ74" s="150">
        <f t="shared" si="343"/>
        <v>816</v>
      </c>
      <c r="CR74" s="150">
        <f t="shared" si="344"/>
        <v>0</v>
      </c>
      <c r="CS74" s="150">
        <f t="shared" si="345"/>
        <v>454.28</v>
      </c>
      <c r="CT74" s="150">
        <f t="shared" si="346"/>
        <v>0</v>
      </c>
      <c r="CU74" s="150">
        <v>454.28</v>
      </c>
      <c r="CV74" s="150">
        <v>0</v>
      </c>
      <c r="CW74" s="150">
        <f t="shared" si="349"/>
        <v>113.57</v>
      </c>
      <c r="CX74" s="150">
        <f t="shared" si="366"/>
        <v>0</v>
      </c>
      <c r="CY74" s="150"/>
      <c r="CZ74" s="150"/>
      <c r="DA74" s="150">
        <f t="shared" si="350"/>
        <v>385.57</v>
      </c>
      <c r="DB74" s="150">
        <f t="shared" si="351"/>
        <v>0</v>
      </c>
      <c r="DC74" s="150">
        <v>287.36</v>
      </c>
      <c r="DD74" s="150">
        <v>0</v>
      </c>
      <c r="DE74" s="150">
        <f t="shared" si="352"/>
        <v>98.20999999999998</v>
      </c>
      <c r="DF74" s="150">
        <f t="shared" si="353"/>
        <v>0</v>
      </c>
      <c r="DG74" s="150">
        <f t="shared" si="365"/>
        <v>113.57</v>
      </c>
      <c r="DH74" s="150">
        <f t="shared" si="365"/>
        <v>0</v>
      </c>
      <c r="DI74" s="150">
        <f t="shared" si="354"/>
        <v>15.360000000000014</v>
      </c>
      <c r="DJ74" s="150">
        <f>+DH74-DF74</f>
        <v>0</v>
      </c>
      <c r="DK74" s="104">
        <f t="shared" si="165"/>
        <v>121.50000000000006</v>
      </c>
      <c r="DL74" s="104">
        <f t="shared" si="166"/>
        <v>0</v>
      </c>
      <c r="DM74" s="104">
        <f t="shared" si="333"/>
        <v>53.349999999999966</v>
      </c>
      <c r="DN74" s="104">
        <f t="shared" si="334"/>
        <v>0</v>
      </c>
      <c r="DO74" s="104">
        <v>522.43000000000006</v>
      </c>
      <c r="DP74" s="104">
        <v>0</v>
      </c>
      <c r="DQ74" s="104">
        <v>600</v>
      </c>
      <c r="DR74" s="104">
        <v>0</v>
      </c>
    </row>
    <row r="75" spans="1:126" ht="18.75">
      <c r="A75" s="18"/>
      <c r="B75" s="18" t="s">
        <v>108</v>
      </c>
      <c r="C75" s="19" t="s">
        <v>89</v>
      </c>
      <c r="D75" s="20" t="s">
        <v>106</v>
      </c>
      <c r="E75" s="21" t="s">
        <v>109</v>
      </c>
      <c r="F75" s="22">
        <v>3748.3400000000006</v>
      </c>
      <c r="G75" s="22">
        <v>194.81</v>
      </c>
      <c r="H75" s="22">
        <v>4025.7100000000005</v>
      </c>
      <c r="I75" s="22">
        <v>205</v>
      </c>
      <c r="J75" s="88" t="e">
        <f>+J72+J73+#REF!+J74</f>
        <v>#REF!</v>
      </c>
      <c r="K75" s="88" t="e">
        <f>+K72+K73+#REF!+K74</f>
        <v>#REF!</v>
      </c>
      <c r="L75" s="88" t="e">
        <f>+L72+L73+#REF!+L74</f>
        <v>#REF!</v>
      </c>
      <c r="M75" s="88" t="e">
        <f>+M72+M73+#REF!+M74</f>
        <v>#REF!</v>
      </c>
      <c r="N75" s="88" t="e">
        <f>+N72+N73+#REF!+N74</f>
        <v>#REF!</v>
      </c>
      <c r="O75" s="88" t="e">
        <f>+O72+O73+#REF!+O74</f>
        <v>#REF!</v>
      </c>
      <c r="P75" s="88" t="e">
        <f>+P72+P73+#REF!+P74</f>
        <v>#REF!</v>
      </c>
      <c r="Q75" s="88" t="e">
        <f>+Q72+Q73+#REF!+Q74</f>
        <v>#REF!</v>
      </c>
      <c r="R75" s="88" t="e">
        <f>+R72+R73+#REF!+R74</f>
        <v>#REF!</v>
      </c>
      <c r="S75" s="88" t="e">
        <f>+S72+S73+#REF!+S74</f>
        <v>#REF!</v>
      </c>
      <c r="T75" s="88" t="e">
        <f>+T72+T73+#REF!+T74</f>
        <v>#REF!</v>
      </c>
      <c r="U75" s="88" t="e">
        <f>+U72+U73+#REF!+U74</f>
        <v>#REF!</v>
      </c>
      <c r="V75" s="88" t="e">
        <f>+V72+V73+#REF!+V74</f>
        <v>#REF!</v>
      </c>
      <c r="W75" s="88" t="e">
        <f>+W72+W73+#REF!+W74</f>
        <v>#REF!</v>
      </c>
      <c r="X75" s="88" t="e">
        <f>+X72+X73+#REF!+X74</f>
        <v>#REF!</v>
      </c>
      <c r="Y75" s="88" t="e">
        <f>+Y72+Y73+#REF!+Y74</f>
        <v>#REF!</v>
      </c>
      <c r="Z75" s="88" t="e">
        <f>+Z72+Z73+#REF!+Z74</f>
        <v>#REF!</v>
      </c>
      <c r="AA75" s="88" t="e">
        <f>+AA72+AA73+#REF!+AA74</f>
        <v>#REF!</v>
      </c>
      <c r="AB75" s="22" t="e">
        <f t="shared" si="312"/>
        <v>#REF!</v>
      </c>
      <c r="AC75" s="109" t="e">
        <f t="shared" si="313"/>
        <v>#REF!</v>
      </c>
      <c r="AD75" s="22">
        <f t="shared" ref="AD75" si="369">+AD72+AD73+AD74</f>
        <v>4260.3999999999996</v>
      </c>
      <c r="AE75" s="22">
        <f t="shared" ref="AE75" si="370">+AE72+AE73+AE74</f>
        <v>200</v>
      </c>
      <c r="AF75" s="22">
        <f t="shared" ref="AF75" si="371">+AF72+AF73+AF74</f>
        <v>180.44</v>
      </c>
      <c r="AG75" s="22">
        <f t="shared" ref="AG75" si="372">+AG72+AG73+AG74</f>
        <v>1065</v>
      </c>
      <c r="AH75" s="22">
        <f t="shared" ref="AH75" si="373">+AH72+AH73+AH74</f>
        <v>50</v>
      </c>
      <c r="AI75" s="22">
        <f t="shared" ref="AI75" si="374">+AI72+AI73+AI74</f>
        <v>355</v>
      </c>
      <c r="AJ75" s="22">
        <f t="shared" ref="AJ75" si="375">+AJ72+AJ73+AJ74</f>
        <v>17</v>
      </c>
      <c r="AK75" s="22">
        <f t="shared" ref="AK75" si="376">+AK72+AK73+AK74</f>
        <v>0</v>
      </c>
      <c r="AL75" s="22">
        <f t="shared" ref="AL75" si="377">+AL72+AL73+AL74</f>
        <v>0</v>
      </c>
      <c r="AM75" s="22">
        <f t="shared" ref="AM75" si="378">+AM72+AM73+AM74</f>
        <v>1065.1000000000001</v>
      </c>
      <c r="AN75" s="22">
        <f t="shared" ref="AN75" si="379">+AN72+AN73+AN74</f>
        <v>48.7</v>
      </c>
      <c r="AO75" s="22">
        <f t="shared" ref="AO75" si="380">+AO72+AO73+AO74</f>
        <v>0</v>
      </c>
      <c r="AP75" s="22">
        <f t="shared" ref="AP75" si="381">+AP72+AP73+AP74</f>
        <v>0</v>
      </c>
      <c r="AQ75" s="22">
        <f t="shared" ref="AQ75" si="382">+AQ72+AQ73+AQ74</f>
        <v>2130.1</v>
      </c>
      <c r="AR75" s="22">
        <f t="shared" ref="AR75" si="383">+AR72+AR73+AR74</f>
        <v>98.7</v>
      </c>
      <c r="AS75" s="22">
        <f t="shared" ref="AS75" si="384">+AS72+AS73+AS74</f>
        <v>0</v>
      </c>
      <c r="AT75" s="22">
        <f t="shared" ref="AT75" si="385">+AT72+AT73+AT74</f>
        <v>0</v>
      </c>
      <c r="AU75" s="22">
        <f t="shared" ref="AU75" si="386">+AU72+AU73+AU74</f>
        <v>797.08</v>
      </c>
      <c r="AV75" s="22">
        <f t="shared" ref="AV75" si="387">+AV72+AV73+AV74</f>
        <v>84.3</v>
      </c>
      <c r="AW75" s="22">
        <f t="shared" ref="AW75" si="388">+AW72+AW73+AW74</f>
        <v>0</v>
      </c>
      <c r="AX75" s="22">
        <f t="shared" ref="AX75" si="389">+AX72+AX73+AX74</f>
        <v>0</v>
      </c>
      <c r="AY75" s="22">
        <f t="shared" ref="AY75" si="390">+AY72+AY73+AY74</f>
        <v>3282.18</v>
      </c>
      <c r="AZ75" s="22">
        <f t="shared" ref="AZ75" si="391">+AZ72+AZ73+AZ74</f>
        <v>200</v>
      </c>
      <c r="BA75" s="22">
        <f t="shared" ref="BA75" si="392">+BA72+BA73+BA74</f>
        <v>3482.18</v>
      </c>
      <c r="BB75" s="22">
        <f t="shared" ref="BB75" si="393">+BB72+BB73+BB74</f>
        <v>3053.8499999999995</v>
      </c>
      <c r="BC75" s="22">
        <f t="shared" ref="BC75" si="394">+BC72+BC73+BC74</f>
        <v>195.34</v>
      </c>
      <c r="BD75" s="22">
        <f t="shared" ref="BD75" si="395">+BD72+BD73+BD74</f>
        <v>228.32999999999993</v>
      </c>
      <c r="BE75" s="22">
        <f t="shared" ref="BE75" si="396">+BE72+BE73+BE74</f>
        <v>4.6599999999999966</v>
      </c>
      <c r="BF75" s="22">
        <f t="shared" ref="BF75" si="397">+BF72+BF73+BF74</f>
        <v>610.7700000000001</v>
      </c>
      <c r="BG75" s="118">
        <f t="shared" ref="BG75:DH75" si="398">+BG72+BG73+BG74</f>
        <v>39.07</v>
      </c>
      <c r="BH75" s="118">
        <f t="shared" si="398"/>
        <v>191.23000000000002</v>
      </c>
      <c r="BI75" s="118">
        <f t="shared" si="398"/>
        <v>15</v>
      </c>
      <c r="BJ75" s="118">
        <f t="shared" si="398"/>
        <v>0</v>
      </c>
      <c r="BK75" s="118">
        <f t="shared" si="398"/>
        <v>0</v>
      </c>
      <c r="BL75" s="118">
        <f t="shared" si="398"/>
        <v>3473.4100000000003</v>
      </c>
      <c r="BM75" s="118">
        <f t="shared" si="398"/>
        <v>215</v>
      </c>
      <c r="BN75" s="118">
        <f t="shared" si="398"/>
        <v>3688.4100000000003</v>
      </c>
      <c r="BO75" s="118">
        <f t="shared" si="398"/>
        <v>3256.2699999999995</v>
      </c>
      <c r="BP75" s="118">
        <f t="shared" si="398"/>
        <v>197.76</v>
      </c>
      <c r="BQ75" s="22">
        <f t="shared" si="398"/>
        <v>217.13999999999993</v>
      </c>
      <c r="BR75" s="22">
        <f t="shared" si="398"/>
        <v>17.240000000000009</v>
      </c>
      <c r="BS75" s="22">
        <f t="shared" si="398"/>
        <v>296.02</v>
      </c>
      <c r="BT75" s="22">
        <f t="shared" si="398"/>
        <v>17.98</v>
      </c>
      <c r="BU75" s="22">
        <f t="shared" si="398"/>
        <v>78.880000000000067</v>
      </c>
      <c r="BV75" s="22">
        <f t="shared" si="398"/>
        <v>0</v>
      </c>
      <c r="BW75" s="22">
        <f t="shared" si="398"/>
        <v>880.71</v>
      </c>
      <c r="BX75" s="22">
        <f t="shared" si="398"/>
        <v>11.97</v>
      </c>
      <c r="BY75" s="22">
        <f t="shared" si="398"/>
        <v>0</v>
      </c>
      <c r="BZ75" s="22">
        <f t="shared" si="398"/>
        <v>0</v>
      </c>
      <c r="CA75" s="22">
        <f t="shared" si="398"/>
        <v>4433</v>
      </c>
      <c r="CB75" s="22">
        <f t="shared" si="398"/>
        <v>226.97</v>
      </c>
      <c r="CC75" s="22">
        <f t="shared" si="398"/>
        <v>4876.29</v>
      </c>
      <c r="CD75" s="118">
        <f t="shared" si="398"/>
        <v>261.02</v>
      </c>
      <c r="CE75" s="190">
        <f t="shared" si="398"/>
        <v>406</v>
      </c>
      <c r="CF75" s="190">
        <f t="shared" si="398"/>
        <v>22</v>
      </c>
      <c r="CG75" s="190">
        <f t="shared" si="398"/>
        <v>1108.25</v>
      </c>
      <c r="CH75" s="190">
        <f t="shared" si="398"/>
        <v>56.74</v>
      </c>
      <c r="CI75" s="190">
        <f t="shared" si="398"/>
        <v>0</v>
      </c>
      <c r="CJ75" s="190">
        <f t="shared" si="398"/>
        <v>0</v>
      </c>
      <c r="CK75" s="190">
        <f t="shared" si="398"/>
        <v>1227</v>
      </c>
      <c r="CL75" s="190">
        <f t="shared" si="398"/>
        <v>120</v>
      </c>
      <c r="CM75" s="190">
        <f t="shared" si="398"/>
        <v>0</v>
      </c>
      <c r="CN75" s="190">
        <f t="shared" si="398"/>
        <v>0</v>
      </c>
      <c r="CO75" s="190">
        <f t="shared" si="398"/>
        <v>4723.0199999999995</v>
      </c>
      <c r="CP75" s="190">
        <f t="shared" si="398"/>
        <v>300</v>
      </c>
      <c r="CQ75" s="190">
        <f t="shared" si="398"/>
        <v>4908</v>
      </c>
      <c r="CR75" s="190">
        <f t="shared" si="398"/>
        <v>480</v>
      </c>
      <c r="CS75" s="190">
        <f t="shared" si="398"/>
        <v>4546.28</v>
      </c>
      <c r="CT75" s="190">
        <f t="shared" si="398"/>
        <v>300</v>
      </c>
      <c r="CU75" s="190">
        <f t="shared" si="398"/>
        <v>4546.28</v>
      </c>
      <c r="CV75" s="190">
        <f t="shared" si="398"/>
        <v>300</v>
      </c>
      <c r="CW75" s="190">
        <f t="shared" si="398"/>
        <v>1136.57</v>
      </c>
      <c r="CX75" s="190">
        <f t="shared" si="398"/>
        <v>15</v>
      </c>
      <c r="CY75" s="190">
        <f t="shared" si="398"/>
        <v>0</v>
      </c>
      <c r="CZ75" s="190">
        <f t="shared" si="398"/>
        <v>0</v>
      </c>
      <c r="DA75" s="190">
        <f t="shared" si="398"/>
        <v>2769.57</v>
      </c>
      <c r="DB75" s="190">
        <f t="shared" si="398"/>
        <v>157</v>
      </c>
      <c r="DC75" s="190">
        <f t="shared" si="398"/>
        <v>2648.36</v>
      </c>
      <c r="DD75" s="190">
        <f t="shared" si="398"/>
        <v>293.99</v>
      </c>
      <c r="DE75" s="190">
        <f t="shared" si="398"/>
        <v>121.20999999999998</v>
      </c>
      <c r="DF75" s="190">
        <f t="shared" si="398"/>
        <v>-136.99</v>
      </c>
      <c r="DG75" s="190">
        <f t="shared" si="398"/>
        <v>1131.57</v>
      </c>
      <c r="DH75" s="190">
        <f t="shared" si="398"/>
        <v>60</v>
      </c>
      <c r="DI75" s="190">
        <f t="shared" ref="DI75:DO75" si="399">+DI72+DI73+DI74</f>
        <v>1010.36</v>
      </c>
      <c r="DJ75" s="190">
        <f t="shared" si="399"/>
        <v>81.990000000000009</v>
      </c>
      <c r="DK75" s="104">
        <f t="shared" si="165"/>
        <v>814.50000000000011</v>
      </c>
      <c r="DL75" s="104">
        <f t="shared" si="166"/>
        <v>1.0099999999999909</v>
      </c>
      <c r="DM75" s="104">
        <f t="shared" si="333"/>
        <v>766.34999999999957</v>
      </c>
      <c r="DN75" s="104">
        <f t="shared" si="334"/>
        <v>61.009999999999991</v>
      </c>
      <c r="DO75" s="22">
        <f t="shared" si="399"/>
        <v>4594.43</v>
      </c>
      <c r="DP75" s="22">
        <f t="shared" ref="DP75:DS75" si="400">+DP72+DP73+DP74</f>
        <v>240</v>
      </c>
      <c r="DQ75" s="22">
        <f t="shared" si="400"/>
        <v>4958</v>
      </c>
      <c r="DR75" s="22">
        <f t="shared" si="400"/>
        <v>380</v>
      </c>
      <c r="DS75" s="22">
        <f t="shared" si="400"/>
        <v>0</v>
      </c>
    </row>
    <row r="76" spans="1:126" ht="18.75">
      <c r="A76" s="13">
        <v>57</v>
      </c>
      <c r="B76" s="13"/>
      <c r="C76" s="14"/>
      <c r="D76" s="15" t="s">
        <v>110</v>
      </c>
      <c r="E76" s="16"/>
      <c r="F76" s="81">
        <v>2684.24</v>
      </c>
      <c r="G76" s="81">
        <v>284.73999999999995</v>
      </c>
      <c r="H76" s="81">
        <v>2708.0699999999997</v>
      </c>
      <c r="I76" s="17">
        <v>334.73999999999995</v>
      </c>
      <c r="J76" s="86">
        <v>2835</v>
      </c>
      <c r="K76" s="87">
        <v>265</v>
      </c>
      <c r="L76" s="87">
        <v>0</v>
      </c>
      <c r="M76" s="87">
        <f t="shared" si="246"/>
        <v>3100</v>
      </c>
      <c r="N76" s="87">
        <v>0</v>
      </c>
      <c r="O76" s="87">
        <v>0</v>
      </c>
      <c r="P76" s="87">
        <v>0</v>
      </c>
      <c r="Q76" s="87">
        <f t="shared" ref="Q76:Q78" si="401">N76+O76+P76</f>
        <v>0</v>
      </c>
      <c r="R76" s="87">
        <f t="shared" si="135"/>
        <v>3100</v>
      </c>
      <c r="S76" s="87">
        <v>300</v>
      </c>
      <c r="V76" s="17">
        <f t="shared" ref="V76" si="402">ROUND(H76*1.0583,2)</f>
        <v>2865.95</v>
      </c>
      <c r="W76" s="17">
        <f t="shared" ref="W76" si="403">ROUND(I76*1.0327,2)</f>
        <v>345.69</v>
      </c>
      <c r="X76" s="108">
        <f t="shared" si="310"/>
        <v>234.05000000000018</v>
      </c>
      <c r="Y76" s="109">
        <f t="shared" si="311"/>
        <v>-45.69</v>
      </c>
      <c r="Z76" s="116">
        <v>2865.95</v>
      </c>
      <c r="AA76" s="116"/>
      <c r="AB76" s="116">
        <f t="shared" si="312"/>
        <v>2865.95</v>
      </c>
      <c r="AC76" s="109">
        <f t="shared" si="313"/>
        <v>0</v>
      </c>
      <c r="AD76" s="108">
        <f t="shared" ref="AD76" si="404">IF(X76&gt;0,V76,R76)</f>
        <v>2865.95</v>
      </c>
      <c r="AE76" s="108">
        <f t="shared" ref="AE76" si="405">IF(Y76&gt;0,W76,S76)</f>
        <v>300</v>
      </c>
      <c r="AF76" s="108">
        <f t="shared" si="314"/>
        <v>270.66000000000003</v>
      </c>
      <c r="AG76" s="108">
        <f t="shared" si="315"/>
        <v>716</v>
      </c>
      <c r="AH76" s="108">
        <f t="shared" si="316"/>
        <v>75</v>
      </c>
      <c r="AI76" s="127">
        <f t="shared" si="317"/>
        <v>239</v>
      </c>
      <c r="AJ76" s="108">
        <f t="shared" si="318"/>
        <v>25</v>
      </c>
      <c r="AM76" s="108">
        <f t="shared" si="319"/>
        <v>716.49</v>
      </c>
      <c r="AN76" s="108">
        <f t="shared" si="320"/>
        <v>73.05</v>
      </c>
      <c r="AQ76" s="108">
        <f t="shared" si="321"/>
        <v>1432.49</v>
      </c>
      <c r="AR76" s="108">
        <f t="shared" si="322"/>
        <v>148.05000000000001</v>
      </c>
      <c r="AU76" s="108">
        <f t="shared" si="302"/>
        <v>716.49</v>
      </c>
      <c r="AV76" s="108">
        <f t="shared" si="184"/>
        <v>75</v>
      </c>
      <c r="AY76" s="108">
        <f t="shared" si="303"/>
        <v>2387.98</v>
      </c>
      <c r="AZ76" s="108">
        <f t="shared" si="304"/>
        <v>248.05</v>
      </c>
      <c r="BA76" s="108">
        <f t="shared" si="305"/>
        <v>2636.03</v>
      </c>
      <c r="BB76" s="139">
        <v>2262.13</v>
      </c>
      <c r="BC76" s="139">
        <v>283.75</v>
      </c>
      <c r="BD76" s="139">
        <f t="shared" si="306"/>
        <v>125.84999999999991</v>
      </c>
      <c r="BE76" s="139">
        <f t="shared" si="307"/>
        <v>-35.699999999999989</v>
      </c>
      <c r="BF76" s="139">
        <f t="shared" si="308"/>
        <v>452.43</v>
      </c>
      <c r="BG76" s="139">
        <f t="shared" si="309"/>
        <v>56.75</v>
      </c>
      <c r="BH76" s="108">
        <v>163.29</v>
      </c>
      <c r="BI76" s="108">
        <v>32.5</v>
      </c>
      <c r="BL76" s="108">
        <f t="shared" si="332"/>
        <v>2551.27</v>
      </c>
      <c r="BM76" s="108">
        <f t="shared" si="335"/>
        <v>280.55</v>
      </c>
      <c r="BN76" s="108">
        <f t="shared" si="336"/>
        <v>2831.82</v>
      </c>
      <c r="BO76" s="108">
        <v>2517.65</v>
      </c>
      <c r="BP76" s="127">
        <v>312.14</v>
      </c>
      <c r="BQ76" s="108">
        <f t="shared" si="337"/>
        <v>33.619999999999891</v>
      </c>
      <c r="BR76" s="108">
        <f t="shared" si="338"/>
        <v>-31.589999999999975</v>
      </c>
      <c r="BS76" s="108">
        <f t="shared" si="339"/>
        <v>228.88</v>
      </c>
      <c r="BT76" s="108">
        <f t="shared" si="340"/>
        <v>28.38</v>
      </c>
      <c r="BU76" s="108">
        <f t="shared" si="364"/>
        <v>195.2600000000001</v>
      </c>
      <c r="BV76" s="108">
        <f>ROUND(BT76-BR76,2)-20</f>
        <v>39.97</v>
      </c>
      <c r="BW76" s="109">
        <v>36.79</v>
      </c>
      <c r="BX76" s="108">
        <v>27.48</v>
      </c>
      <c r="CA76" s="108">
        <v>2783.32</v>
      </c>
      <c r="CB76" s="108">
        <v>348</v>
      </c>
      <c r="CC76">
        <v>3061.65</v>
      </c>
      <c r="CD76">
        <v>400.2</v>
      </c>
      <c r="CE76" s="189">
        <v>255</v>
      </c>
      <c r="CF76" s="189">
        <v>33</v>
      </c>
      <c r="CG76" s="189">
        <f t="shared" si="341"/>
        <v>695.83</v>
      </c>
      <c r="CH76" s="189">
        <f t="shared" si="342"/>
        <v>87</v>
      </c>
      <c r="CI76" s="150"/>
      <c r="CJ76" s="150"/>
      <c r="CK76" s="150">
        <v>760</v>
      </c>
      <c r="CL76" s="150">
        <f>100-25</f>
        <v>75</v>
      </c>
      <c r="CM76" s="150"/>
      <c r="CN76" s="150"/>
      <c r="CO76" s="150">
        <v>3150</v>
      </c>
      <c r="CP76" s="150">
        <v>450</v>
      </c>
      <c r="CQ76" s="150">
        <f t="shared" si="343"/>
        <v>3040</v>
      </c>
      <c r="CR76" s="150">
        <f t="shared" si="344"/>
        <v>300</v>
      </c>
      <c r="CS76" s="150">
        <f t="shared" si="345"/>
        <v>3040</v>
      </c>
      <c r="CT76" s="150">
        <f t="shared" si="346"/>
        <v>300</v>
      </c>
      <c r="CU76" s="150">
        <v>3040</v>
      </c>
      <c r="CV76" s="150">
        <v>300</v>
      </c>
      <c r="CW76" s="150">
        <f t="shared" si="349"/>
        <v>760</v>
      </c>
      <c r="CX76" s="150">
        <f>ROUND(CV76*25%,2)-60</f>
        <v>15</v>
      </c>
      <c r="CY76" s="150">
        <v>200</v>
      </c>
      <c r="CZ76" s="150"/>
      <c r="DA76" s="150">
        <f t="shared" si="350"/>
        <v>1975</v>
      </c>
      <c r="DB76" s="150">
        <f t="shared" si="351"/>
        <v>123</v>
      </c>
      <c r="DC76" s="150">
        <v>1892.73</v>
      </c>
      <c r="DD76" s="150">
        <v>57.92</v>
      </c>
      <c r="DE76" s="150">
        <f t="shared" si="352"/>
        <v>82.269999999999982</v>
      </c>
      <c r="DF76" s="150">
        <f t="shared" si="353"/>
        <v>65.08</v>
      </c>
      <c r="DG76" s="150">
        <f t="shared" ref="DG76:DH78" si="406">ROUND(0.25*(MIN(CU76,DO76)),2)</f>
        <v>760</v>
      </c>
      <c r="DH76" s="150">
        <f t="shared" si="406"/>
        <v>75</v>
      </c>
      <c r="DI76" s="150">
        <f t="shared" si="354"/>
        <v>677.73</v>
      </c>
      <c r="DJ76" s="150">
        <f>+DH76-DF76</f>
        <v>9.9200000000000017</v>
      </c>
      <c r="DK76" s="104">
        <f t="shared" si="165"/>
        <v>708.44</v>
      </c>
      <c r="DL76" s="104">
        <f t="shared" si="166"/>
        <v>217.07999999999998</v>
      </c>
      <c r="DM76" s="104">
        <f t="shared" si="333"/>
        <v>387.27</v>
      </c>
      <c r="DN76" s="104">
        <f t="shared" si="334"/>
        <v>167.07999999999998</v>
      </c>
      <c r="DO76" s="104">
        <v>3361.17</v>
      </c>
      <c r="DP76" s="104">
        <v>350</v>
      </c>
      <c r="DQ76" s="104">
        <v>3344</v>
      </c>
      <c r="DR76" s="104">
        <v>350</v>
      </c>
    </row>
    <row r="77" spans="1:126" ht="18.75">
      <c r="A77" s="13">
        <v>58</v>
      </c>
      <c r="B77" s="13"/>
      <c r="C77" s="14"/>
      <c r="D77" s="15" t="s">
        <v>111</v>
      </c>
      <c r="E77" s="16"/>
      <c r="F77" s="81">
        <v>2794.78</v>
      </c>
      <c r="G77" s="81">
        <v>0</v>
      </c>
      <c r="H77" s="81">
        <v>2794.78</v>
      </c>
      <c r="I77" s="17">
        <v>0</v>
      </c>
      <c r="J77" s="86">
        <v>3397.03</v>
      </c>
      <c r="K77" s="87">
        <v>0</v>
      </c>
      <c r="L77" s="87">
        <v>0</v>
      </c>
      <c r="M77" s="87">
        <f t="shared" si="246"/>
        <v>3397.03</v>
      </c>
      <c r="N77" s="87">
        <v>363.97</v>
      </c>
      <c r="O77" s="87">
        <v>0</v>
      </c>
      <c r="P77" s="87">
        <v>0</v>
      </c>
      <c r="Q77" s="87">
        <f t="shared" si="401"/>
        <v>363.97</v>
      </c>
      <c r="R77" s="87">
        <f t="shared" si="135"/>
        <v>3761</v>
      </c>
      <c r="S77" s="87">
        <v>0</v>
      </c>
      <c r="V77" s="17">
        <f t="shared" ref="V77:V78" si="407">ROUND(H77*1.0583,2)</f>
        <v>2957.72</v>
      </c>
      <c r="W77" s="17">
        <f t="shared" ref="W77:W78" si="408">ROUND(I77*1.0327,2)</f>
        <v>0</v>
      </c>
      <c r="X77" s="108">
        <f t="shared" si="310"/>
        <v>803.2800000000002</v>
      </c>
      <c r="Y77" s="108">
        <f t="shared" si="311"/>
        <v>0</v>
      </c>
      <c r="Z77" s="108">
        <v>2707.72</v>
      </c>
      <c r="AA77" s="108">
        <v>250</v>
      </c>
      <c r="AB77" s="108">
        <f t="shared" si="312"/>
        <v>2957.72</v>
      </c>
      <c r="AC77" s="109">
        <f t="shared" si="313"/>
        <v>0</v>
      </c>
      <c r="AD77" s="108">
        <f t="shared" ref="AD77:AD78" si="409">IF(X77&gt;0,V77,R77)</f>
        <v>2957.72</v>
      </c>
      <c r="AE77" s="108">
        <f t="shared" ref="AE77:AE78" si="410">IF(Y77&gt;0,W77,S77)</f>
        <v>0</v>
      </c>
      <c r="AF77" s="108">
        <f t="shared" si="314"/>
        <v>0</v>
      </c>
      <c r="AG77" s="108">
        <f t="shared" si="315"/>
        <v>739</v>
      </c>
      <c r="AH77" s="108">
        <f t="shared" si="316"/>
        <v>0</v>
      </c>
      <c r="AI77" s="127">
        <f t="shared" si="317"/>
        <v>246</v>
      </c>
      <c r="AJ77" s="108">
        <f t="shared" si="318"/>
        <v>0</v>
      </c>
      <c r="AM77" s="108">
        <f t="shared" si="319"/>
        <v>739.43</v>
      </c>
      <c r="AN77" s="108">
        <f t="shared" si="320"/>
        <v>0</v>
      </c>
      <c r="AQ77" s="108">
        <f t="shared" si="321"/>
        <v>1478.4299999999998</v>
      </c>
      <c r="AR77" s="108">
        <f t="shared" si="322"/>
        <v>0</v>
      </c>
      <c r="AU77" s="108">
        <f t="shared" si="302"/>
        <v>739.43</v>
      </c>
      <c r="AV77" s="108">
        <f t="shared" si="184"/>
        <v>0</v>
      </c>
      <c r="AY77" s="108">
        <f t="shared" si="303"/>
        <v>2463.8599999999997</v>
      </c>
      <c r="AZ77" s="108">
        <f t="shared" si="304"/>
        <v>0</v>
      </c>
      <c r="BA77" s="108">
        <f t="shared" si="305"/>
        <v>2463.8599999999997</v>
      </c>
      <c r="BB77" s="139">
        <v>2071.69</v>
      </c>
      <c r="BD77" s="139">
        <f t="shared" si="306"/>
        <v>392.16999999999962</v>
      </c>
      <c r="BE77" s="139">
        <f t="shared" si="307"/>
        <v>0</v>
      </c>
      <c r="BF77" s="139">
        <f t="shared" si="308"/>
        <v>414.34</v>
      </c>
      <c r="BG77" s="139">
        <f t="shared" si="309"/>
        <v>0</v>
      </c>
      <c r="BH77" s="108">
        <v>11.09</v>
      </c>
      <c r="BI77" s="108">
        <v>0</v>
      </c>
      <c r="BL77" s="108">
        <f t="shared" si="332"/>
        <v>2474.9499999999998</v>
      </c>
      <c r="BM77" s="108">
        <f t="shared" si="335"/>
        <v>0</v>
      </c>
      <c r="BN77" s="108">
        <f t="shared" si="336"/>
        <v>2474.9499999999998</v>
      </c>
      <c r="BO77" s="170">
        <v>2318.4299999999998</v>
      </c>
      <c r="BP77" s="127"/>
      <c r="BQ77" s="108">
        <f t="shared" si="337"/>
        <v>156.51999999999998</v>
      </c>
      <c r="BR77" s="108">
        <f t="shared" si="338"/>
        <v>0</v>
      </c>
      <c r="BS77" s="108">
        <f t="shared" si="339"/>
        <v>210.77</v>
      </c>
      <c r="BT77" s="108">
        <f t="shared" si="340"/>
        <v>0</v>
      </c>
      <c r="BU77" s="108">
        <v>100</v>
      </c>
      <c r="BV77" s="108">
        <f t="shared" ref="BV77:BV88" si="411">ROUND(BT77-BR77,2)</f>
        <v>0</v>
      </c>
      <c r="BW77" s="108">
        <v>596</v>
      </c>
      <c r="CA77" s="108">
        <v>3170.95</v>
      </c>
      <c r="CB77" s="108">
        <v>0</v>
      </c>
      <c r="CC77">
        <v>3488.05</v>
      </c>
      <c r="CD77">
        <v>0</v>
      </c>
      <c r="CE77" s="189">
        <v>291</v>
      </c>
      <c r="CF77" s="189">
        <v>0</v>
      </c>
      <c r="CG77" s="189">
        <f t="shared" si="341"/>
        <v>792.74</v>
      </c>
      <c r="CH77" s="189">
        <f t="shared" si="342"/>
        <v>0</v>
      </c>
      <c r="CI77" s="150"/>
      <c r="CJ77" s="150"/>
      <c r="CK77" s="150">
        <v>780</v>
      </c>
      <c r="CL77" s="150">
        <v>0</v>
      </c>
      <c r="CM77" s="150"/>
      <c r="CN77" s="150"/>
      <c r="CO77" s="150">
        <v>3400.38</v>
      </c>
      <c r="CP77" s="150"/>
      <c r="CQ77" s="150">
        <f t="shared" si="343"/>
        <v>3120</v>
      </c>
      <c r="CR77" s="150">
        <f t="shared" si="344"/>
        <v>0</v>
      </c>
      <c r="CS77" s="150">
        <f t="shared" si="345"/>
        <v>3120</v>
      </c>
      <c r="CT77" s="150">
        <f t="shared" si="346"/>
        <v>0</v>
      </c>
      <c r="CU77" s="150">
        <v>3120</v>
      </c>
      <c r="CV77" s="150">
        <v>0</v>
      </c>
      <c r="CW77" s="150">
        <f t="shared" si="349"/>
        <v>780</v>
      </c>
      <c r="CX77" s="150">
        <f t="shared" si="366"/>
        <v>0</v>
      </c>
      <c r="CY77" s="150"/>
      <c r="CZ77" s="150"/>
      <c r="DA77" s="150">
        <f t="shared" si="350"/>
        <v>1851</v>
      </c>
      <c r="DB77" s="150">
        <f t="shared" si="351"/>
        <v>0</v>
      </c>
      <c r="DC77" s="150">
        <v>1799.16</v>
      </c>
      <c r="DD77" s="150">
        <v>0</v>
      </c>
      <c r="DE77" s="150">
        <f t="shared" si="352"/>
        <v>51.839999999999918</v>
      </c>
      <c r="DF77" s="150">
        <f t="shared" si="353"/>
        <v>0</v>
      </c>
      <c r="DG77" s="150">
        <f t="shared" si="406"/>
        <v>780</v>
      </c>
      <c r="DH77" s="150">
        <f t="shared" si="406"/>
        <v>0</v>
      </c>
      <c r="DI77" s="150">
        <f t="shared" si="354"/>
        <v>728.16000000000008</v>
      </c>
      <c r="DJ77" s="150">
        <f>+DH77-DF77</f>
        <v>0</v>
      </c>
      <c r="DK77" s="104">
        <f t="shared" si="165"/>
        <v>540.83999999999992</v>
      </c>
      <c r="DL77" s="104">
        <f t="shared" si="166"/>
        <v>0</v>
      </c>
      <c r="DM77" s="104">
        <f t="shared" si="333"/>
        <v>540.83999999999992</v>
      </c>
      <c r="DN77" s="104">
        <f t="shared" si="334"/>
        <v>0</v>
      </c>
      <c r="DO77" s="104">
        <v>3120</v>
      </c>
      <c r="DP77" s="104">
        <v>0</v>
      </c>
      <c r="DQ77" s="104">
        <v>3500</v>
      </c>
      <c r="DR77" s="104">
        <v>0</v>
      </c>
    </row>
    <row r="78" spans="1:126" ht="18.75">
      <c r="A78" s="13">
        <v>59</v>
      </c>
      <c r="B78" s="13"/>
      <c r="C78" s="14"/>
      <c r="D78" s="183" t="s">
        <v>112</v>
      </c>
      <c r="E78" s="16"/>
      <c r="F78" s="81">
        <v>0</v>
      </c>
      <c r="G78" s="81">
        <v>0</v>
      </c>
      <c r="H78" s="81">
        <v>0</v>
      </c>
      <c r="I78" s="17">
        <v>0</v>
      </c>
      <c r="J78" s="86">
        <v>0</v>
      </c>
      <c r="K78" s="87">
        <v>0</v>
      </c>
      <c r="L78" s="87">
        <v>0</v>
      </c>
      <c r="M78" s="87">
        <f t="shared" si="246"/>
        <v>0</v>
      </c>
      <c r="N78" s="87">
        <v>0</v>
      </c>
      <c r="O78" s="87">
        <v>0</v>
      </c>
      <c r="P78" s="87">
        <v>0</v>
      </c>
      <c r="Q78" s="87">
        <f t="shared" si="401"/>
        <v>0</v>
      </c>
      <c r="R78" s="87">
        <f t="shared" si="135"/>
        <v>0</v>
      </c>
      <c r="S78" s="87">
        <v>0</v>
      </c>
      <c r="V78" s="17">
        <f t="shared" si="407"/>
        <v>0</v>
      </c>
      <c r="W78" s="17">
        <f t="shared" si="408"/>
        <v>0</v>
      </c>
      <c r="X78" s="108">
        <f t="shared" si="310"/>
        <v>0</v>
      </c>
      <c r="Y78" s="108">
        <f t="shared" si="311"/>
        <v>0</v>
      </c>
      <c r="Z78" s="108"/>
      <c r="AA78" s="108"/>
      <c r="AB78" s="108">
        <f t="shared" si="312"/>
        <v>0</v>
      </c>
      <c r="AC78" s="109">
        <f t="shared" si="313"/>
        <v>0</v>
      </c>
      <c r="AD78" s="108">
        <f t="shared" si="409"/>
        <v>0</v>
      </c>
      <c r="AE78" s="108">
        <f t="shared" si="410"/>
        <v>0</v>
      </c>
      <c r="AF78" s="108">
        <f t="shared" si="314"/>
        <v>0</v>
      </c>
      <c r="AG78" s="108">
        <f t="shared" si="315"/>
        <v>0</v>
      </c>
      <c r="AH78" s="108">
        <f t="shared" si="316"/>
        <v>0</v>
      </c>
      <c r="AI78" s="127">
        <f t="shared" si="317"/>
        <v>0</v>
      </c>
      <c r="AJ78" s="108">
        <f t="shared" si="318"/>
        <v>0</v>
      </c>
      <c r="AM78" s="108">
        <f t="shared" si="319"/>
        <v>0</v>
      </c>
      <c r="AN78" s="108">
        <f t="shared" si="320"/>
        <v>0</v>
      </c>
      <c r="AQ78" s="108">
        <f t="shared" si="321"/>
        <v>0</v>
      </c>
      <c r="AR78" s="108">
        <f t="shared" si="322"/>
        <v>0</v>
      </c>
      <c r="AU78" s="108">
        <f t="shared" si="302"/>
        <v>0</v>
      </c>
      <c r="AV78" s="108">
        <f t="shared" si="184"/>
        <v>0</v>
      </c>
      <c r="AY78" s="108">
        <f t="shared" si="303"/>
        <v>0</v>
      </c>
      <c r="AZ78" s="108">
        <f t="shared" si="304"/>
        <v>0</v>
      </c>
      <c r="BA78" s="108">
        <f t="shared" si="305"/>
        <v>0</v>
      </c>
      <c r="BB78" s="139">
        <v>0</v>
      </c>
      <c r="BD78" s="139">
        <f t="shared" si="306"/>
        <v>0</v>
      </c>
      <c r="BE78" s="139">
        <f t="shared" si="307"/>
        <v>0</v>
      </c>
      <c r="BF78" s="139">
        <f t="shared" si="308"/>
        <v>0</v>
      </c>
      <c r="BG78" s="139">
        <f t="shared" si="309"/>
        <v>0</v>
      </c>
      <c r="BH78" s="108">
        <v>0</v>
      </c>
      <c r="BI78" s="108">
        <v>0</v>
      </c>
      <c r="BL78" s="108">
        <f t="shared" si="332"/>
        <v>0</v>
      </c>
      <c r="BM78" s="108">
        <f t="shared" si="335"/>
        <v>0</v>
      </c>
      <c r="BN78" s="108">
        <f t="shared" si="336"/>
        <v>0</v>
      </c>
      <c r="BO78" s="108">
        <f t="shared" ref="BO78" si="412">+BJ78+BA78+BL78</f>
        <v>0</v>
      </c>
      <c r="BP78" s="127">
        <f t="shared" ref="BP78" si="413">+BK78+BB78+BM78</f>
        <v>0</v>
      </c>
      <c r="BQ78" s="108">
        <f t="shared" si="337"/>
        <v>0</v>
      </c>
      <c r="BR78" s="108">
        <f t="shared" si="338"/>
        <v>0</v>
      </c>
      <c r="BS78" s="108">
        <f t="shared" si="339"/>
        <v>0</v>
      </c>
      <c r="BT78" s="108">
        <f t="shared" si="340"/>
        <v>0</v>
      </c>
      <c r="BU78" s="108">
        <f t="shared" si="364"/>
        <v>0</v>
      </c>
      <c r="BV78" s="108">
        <f t="shared" si="411"/>
        <v>0</v>
      </c>
      <c r="CA78" s="108">
        <v>0</v>
      </c>
      <c r="CB78" s="108">
        <v>0</v>
      </c>
      <c r="CC78">
        <v>0</v>
      </c>
      <c r="CD78">
        <v>0</v>
      </c>
      <c r="CE78" s="189">
        <v>0</v>
      </c>
      <c r="CF78" s="189">
        <v>0</v>
      </c>
      <c r="CG78" s="189">
        <f t="shared" si="341"/>
        <v>0</v>
      </c>
      <c r="CH78" s="189">
        <f t="shared" si="342"/>
        <v>0</v>
      </c>
      <c r="CI78" s="150"/>
      <c r="CJ78" s="150"/>
      <c r="CK78" s="150">
        <v>0</v>
      </c>
      <c r="CL78" s="150">
        <v>0</v>
      </c>
      <c r="CM78" s="150"/>
      <c r="CN78" s="150"/>
      <c r="CO78" s="150"/>
      <c r="CP78" s="150"/>
      <c r="CQ78" s="150">
        <f t="shared" si="343"/>
        <v>0</v>
      </c>
      <c r="CR78" s="150">
        <f t="shared" si="344"/>
        <v>0</v>
      </c>
      <c r="CS78" s="150">
        <f t="shared" si="345"/>
        <v>0</v>
      </c>
      <c r="CT78" s="150">
        <f t="shared" si="346"/>
        <v>0</v>
      </c>
      <c r="CU78" s="150">
        <v>0</v>
      </c>
      <c r="CV78" s="150">
        <v>0</v>
      </c>
      <c r="CW78" s="150">
        <f t="shared" si="349"/>
        <v>0</v>
      </c>
      <c r="CX78" s="150">
        <f t="shared" si="366"/>
        <v>0</v>
      </c>
      <c r="CY78" s="150"/>
      <c r="CZ78" s="150"/>
      <c r="DA78" s="150">
        <f t="shared" si="350"/>
        <v>0</v>
      </c>
      <c r="DB78" s="150">
        <f t="shared" si="351"/>
        <v>0</v>
      </c>
      <c r="DC78" s="150">
        <v>0</v>
      </c>
      <c r="DD78" s="150">
        <v>0</v>
      </c>
      <c r="DE78" s="150">
        <f t="shared" si="352"/>
        <v>0</v>
      </c>
      <c r="DF78" s="150">
        <f t="shared" si="353"/>
        <v>0</v>
      </c>
      <c r="DG78" s="150">
        <f t="shared" si="406"/>
        <v>0</v>
      </c>
      <c r="DH78" s="150">
        <f t="shared" si="406"/>
        <v>0</v>
      </c>
      <c r="DI78" s="150">
        <f t="shared" si="354"/>
        <v>0</v>
      </c>
      <c r="DJ78" s="150">
        <f>+DH78-DF78</f>
        <v>0</v>
      </c>
      <c r="DK78" s="104">
        <f t="shared" si="165"/>
        <v>0</v>
      </c>
      <c r="DL78" s="104">
        <f t="shared" si="166"/>
        <v>0</v>
      </c>
      <c r="DM78" s="104">
        <f t="shared" si="333"/>
        <v>0</v>
      </c>
      <c r="DN78" s="104">
        <f t="shared" si="334"/>
        <v>0</v>
      </c>
    </row>
    <row r="79" spans="1:126" ht="18.75">
      <c r="A79" s="18"/>
      <c r="B79" s="18" t="s">
        <v>113</v>
      </c>
      <c r="C79" s="19" t="s">
        <v>89</v>
      </c>
      <c r="D79" s="20" t="s">
        <v>110</v>
      </c>
      <c r="E79" s="21" t="s">
        <v>114</v>
      </c>
      <c r="F79" s="22">
        <v>5479.02</v>
      </c>
      <c r="G79" s="22">
        <v>284.73999999999995</v>
      </c>
      <c r="H79" s="22">
        <v>5502.85</v>
      </c>
      <c r="I79" s="22">
        <v>334.73999999999995</v>
      </c>
      <c r="J79" s="88">
        <f t="shared" ref="J79:AA79" si="414">+J76+J77+J78</f>
        <v>6232.0300000000007</v>
      </c>
      <c r="K79" s="88">
        <f t="shared" si="414"/>
        <v>265</v>
      </c>
      <c r="L79" s="88">
        <f t="shared" si="414"/>
        <v>0</v>
      </c>
      <c r="M79" s="88">
        <f t="shared" si="414"/>
        <v>6497.0300000000007</v>
      </c>
      <c r="N79" s="88">
        <f t="shared" si="414"/>
        <v>363.97</v>
      </c>
      <c r="O79" s="88">
        <f t="shared" si="414"/>
        <v>0</v>
      </c>
      <c r="P79" s="88">
        <f t="shared" si="414"/>
        <v>0</v>
      </c>
      <c r="Q79" s="88">
        <f t="shared" si="414"/>
        <v>363.97</v>
      </c>
      <c r="R79" s="88">
        <f t="shared" si="414"/>
        <v>6861</v>
      </c>
      <c r="S79" s="88">
        <f t="shared" si="414"/>
        <v>300</v>
      </c>
      <c r="T79" s="88">
        <f t="shared" si="414"/>
        <v>0</v>
      </c>
      <c r="U79" s="88">
        <f t="shared" si="414"/>
        <v>0</v>
      </c>
      <c r="V79" s="88">
        <f t="shared" si="414"/>
        <v>5823.67</v>
      </c>
      <c r="W79" s="88">
        <f t="shared" si="414"/>
        <v>345.69</v>
      </c>
      <c r="X79" s="88">
        <f t="shared" si="414"/>
        <v>1037.3300000000004</v>
      </c>
      <c r="Y79" s="88">
        <f t="shared" si="414"/>
        <v>-45.69</v>
      </c>
      <c r="Z79" s="88">
        <f t="shared" si="414"/>
        <v>5573.67</v>
      </c>
      <c r="AA79" s="88">
        <f t="shared" si="414"/>
        <v>250</v>
      </c>
      <c r="AB79" s="22">
        <f t="shared" si="312"/>
        <v>5823.67</v>
      </c>
      <c r="AC79" s="109">
        <f t="shared" si="313"/>
        <v>0</v>
      </c>
      <c r="AD79" s="22">
        <f t="shared" ref="AD79:CP79" si="415">+AD76+AD77+AD78</f>
        <v>5823.67</v>
      </c>
      <c r="AE79" s="22">
        <f t="shared" si="415"/>
        <v>300</v>
      </c>
      <c r="AF79" s="22">
        <f t="shared" si="415"/>
        <v>270.66000000000003</v>
      </c>
      <c r="AG79" s="22">
        <f t="shared" si="415"/>
        <v>1455</v>
      </c>
      <c r="AH79" s="22">
        <f t="shared" si="415"/>
        <v>75</v>
      </c>
      <c r="AI79" s="118">
        <f t="shared" si="415"/>
        <v>485</v>
      </c>
      <c r="AJ79" s="22">
        <f t="shared" si="415"/>
        <v>25</v>
      </c>
      <c r="AK79" s="22">
        <f t="shared" si="415"/>
        <v>0</v>
      </c>
      <c r="AL79" s="22">
        <f t="shared" si="415"/>
        <v>0</v>
      </c>
      <c r="AM79" s="22">
        <f t="shared" si="415"/>
        <v>1455.92</v>
      </c>
      <c r="AN79" s="22">
        <f t="shared" si="415"/>
        <v>73.05</v>
      </c>
      <c r="AO79" s="22">
        <f t="shared" si="415"/>
        <v>0</v>
      </c>
      <c r="AP79" s="22">
        <f t="shared" si="415"/>
        <v>0</v>
      </c>
      <c r="AQ79" s="22">
        <f t="shared" si="415"/>
        <v>2910.92</v>
      </c>
      <c r="AR79" s="22">
        <f t="shared" si="415"/>
        <v>148.05000000000001</v>
      </c>
      <c r="AS79" s="22">
        <f t="shared" si="415"/>
        <v>0</v>
      </c>
      <c r="AT79" s="22">
        <f t="shared" si="415"/>
        <v>0</v>
      </c>
      <c r="AU79" s="22">
        <f t="shared" si="415"/>
        <v>1455.92</v>
      </c>
      <c r="AV79" s="22">
        <f t="shared" si="415"/>
        <v>75</v>
      </c>
      <c r="AW79" s="22">
        <f t="shared" si="415"/>
        <v>0</v>
      </c>
      <c r="AX79" s="22">
        <f t="shared" si="415"/>
        <v>0</v>
      </c>
      <c r="AY79" s="22">
        <f t="shared" si="415"/>
        <v>4851.84</v>
      </c>
      <c r="AZ79" s="22">
        <f t="shared" si="415"/>
        <v>248.05</v>
      </c>
      <c r="BA79" s="22">
        <f t="shared" si="415"/>
        <v>5099.8899999999994</v>
      </c>
      <c r="BB79" s="22">
        <f t="shared" si="415"/>
        <v>4333.82</v>
      </c>
      <c r="BC79" s="22">
        <f t="shared" si="415"/>
        <v>283.75</v>
      </c>
      <c r="BD79" s="22">
        <f t="shared" si="415"/>
        <v>518.01999999999953</v>
      </c>
      <c r="BE79" s="22">
        <f t="shared" si="415"/>
        <v>-35.699999999999989</v>
      </c>
      <c r="BF79" s="22">
        <f t="shared" si="415"/>
        <v>866.77</v>
      </c>
      <c r="BG79" s="118">
        <f t="shared" si="415"/>
        <v>56.75</v>
      </c>
      <c r="BH79" s="118">
        <f t="shared" si="415"/>
        <v>174.38</v>
      </c>
      <c r="BI79" s="118">
        <f t="shared" si="415"/>
        <v>32.5</v>
      </c>
      <c r="BJ79" s="118">
        <f t="shared" si="415"/>
        <v>0</v>
      </c>
      <c r="BK79" s="118">
        <f t="shared" si="415"/>
        <v>0</v>
      </c>
      <c r="BL79" s="118">
        <f t="shared" si="415"/>
        <v>5026.2199999999993</v>
      </c>
      <c r="BM79" s="118">
        <f t="shared" si="415"/>
        <v>280.55</v>
      </c>
      <c r="BN79" s="118">
        <f t="shared" si="415"/>
        <v>5306.77</v>
      </c>
      <c r="BO79" s="118">
        <f t="shared" si="415"/>
        <v>4836.08</v>
      </c>
      <c r="BP79" s="118">
        <f t="shared" si="415"/>
        <v>312.14</v>
      </c>
      <c r="BQ79" s="22">
        <f t="shared" si="415"/>
        <v>190.13999999999987</v>
      </c>
      <c r="BR79" s="22">
        <f t="shared" si="415"/>
        <v>-31.589999999999975</v>
      </c>
      <c r="BS79" s="22">
        <f t="shared" si="415"/>
        <v>439.65</v>
      </c>
      <c r="BT79" s="22">
        <f t="shared" si="415"/>
        <v>28.38</v>
      </c>
      <c r="BU79" s="22">
        <f t="shared" si="415"/>
        <v>295.2600000000001</v>
      </c>
      <c r="BV79" s="22">
        <f t="shared" si="415"/>
        <v>39.97</v>
      </c>
      <c r="BW79" s="22">
        <f t="shared" si="415"/>
        <v>632.79</v>
      </c>
      <c r="BX79" s="22">
        <f t="shared" si="415"/>
        <v>27.48</v>
      </c>
      <c r="BY79" s="22">
        <f t="shared" si="415"/>
        <v>0</v>
      </c>
      <c r="BZ79" s="22">
        <f t="shared" si="415"/>
        <v>0</v>
      </c>
      <c r="CA79" s="22">
        <f t="shared" si="415"/>
        <v>5954.27</v>
      </c>
      <c r="CB79" s="22">
        <f t="shared" si="415"/>
        <v>348</v>
      </c>
      <c r="CC79" s="22">
        <f t="shared" si="415"/>
        <v>6549.7000000000007</v>
      </c>
      <c r="CD79" s="118">
        <f t="shared" si="415"/>
        <v>400.2</v>
      </c>
      <c r="CE79" s="190">
        <f t="shared" si="415"/>
        <v>546</v>
      </c>
      <c r="CF79" s="190">
        <f t="shared" si="415"/>
        <v>33</v>
      </c>
      <c r="CG79" s="190">
        <f t="shared" si="415"/>
        <v>1488.5700000000002</v>
      </c>
      <c r="CH79" s="190">
        <f t="shared" si="415"/>
        <v>87</v>
      </c>
      <c r="CI79" s="190">
        <f t="shared" si="415"/>
        <v>0</v>
      </c>
      <c r="CJ79" s="190">
        <f t="shared" si="415"/>
        <v>0</v>
      </c>
      <c r="CK79" s="190">
        <f t="shared" si="415"/>
        <v>1540</v>
      </c>
      <c r="CL79" s="190">
        <f t="shared" si="415"/>
        <v>75</v>
      </c>
      <c r="CM79" s="190">
        <f t="shared" si="415"/>
        <v>0</v>
      </c>
      <c r="CN79" s="190">
        <f t="shared" si="415"/>
        <v>0</v>
      </c>
      <c r="CO79" s="190">
        <f t="shared" si="415"/>
        <v>6550.38</v>
      </c>
      <c r="CP79" s="190">
        <f t="shared" si="415"/>
        <v>450</v>
      </c>
      <c r="CQ79" s="190">
        <f t="shared" ref="CQ79:DQ79" si="416">+CQ76+CQ77+CQ78</f>
        <v>6160</v>
      </c>
      <c r="CR79" s="190">
        <f t="shared" si="416"/>
        <v>300</v>
      </c>
      <c r="CS79" s="190">
        <f t="shared" si="416"/>
        <v>6160</v>
      </c>
      <c r="CT79" s="190">
        <f t="shared" si="416"/>
        <v>300</v>
      </c>
      <c r="CU79" s="190">
        <f t="shared" si="416"/>
        <v>6160</v>
      </c>
      <c r="CV79" s="190">
        <f t="shared" si="416"/>
        <v>300</v>
      </c>
      <c r="CW79" s="190">
        <f t="shared" si="416"/>
        <v>1540</v>
      </c>
      <c r="CX79" s="190">
        <f t="shared" si="416"/>
        <v>15</v>
      </c>
      <c r="CY79" s="190">
        <f t="shared" si="416"/>
        <v>200</v>
      </c>
      <c r="CZ79" s="190">
        <f t="shared" si="416"/>
        <v>0</v>
      </c>
      <c r="DA79" s="190">
        <f t="shared" si="416"/>
        <v>3826</v>
      </c>
      <c r="DB79" s="190">
        <f t="shared" si="416"/>
        <v>123</v>
      </c>
      <c r="DC79" s="190">
        <f t="shared" si="416"/>
        <v>3691.8900000000003</v>
      </c>
      <c r="DD79" s="190">
        <f t="shared" si="416"/>
        <v>57.92</v>
      </c>
      <c r="DE79" s="190">
        <f t="shared" si="416"/>
        <v>134.1099999999999</v>
      </c>
      <c r="DF79" s="190">
        <f t="shared" si="416"/>
        <v>65.08</v>
      </c>
      <c r="DG79" s="190">
        <f t="shared" si="416"/>
        <v>1540</v>
      </c>
      <c r="DH79" s="190">
        <f t="shared" si="416"/>
        <v>75</v>
      </c>
      <c r="DI79" s="190">
        <f t="shared" si="416"/>
        <v>1405.89</v>
      </c>
      <c r="DJ79" s="190">
        <f t="shared" si="416"/>
        <v>9.9200000000000017</v>
      </c>
      <c r="DK79" s="104">
        <f t="shared" si="165"/>
        <v>1249.28</v>
      </c>
      <c r="DL79" s="104">
        <f t="shared" si="166"/>
        <v>217.07999999999998</v>
      </c>
      <c r="DM79" s="104">
        <f t="shared" si="333"/>
        <v>928.1099999999999</v>
      </c>
      <c r="DN79" s="104">
        <f t="shared" si="334"/>
        <v>167.07999999999998</v>
      </c>
      <c r="DO79" s="22">
        <f t="shared" si="416"/>
        <v>6481.17</v>
      </c>
      <c r="DP79" s="22">
        <f t="shared" si="416"/>
        <v>350</v>
      </c>
      <c r="DQ79" s="22">
        <f t="shared" si="416"/>
        <v>6844</v>
      </c>
      <c r="DR79" s="22">
        <f t="shared" ref="DR79:DV79" si="417">+DR76+DR77+DR78</f>
        <v>350</v>
      </c>
      <c r="DS79" s="22">
        <f t="shared" si="417"/>
        <v>0</v>
      </c>
      <c r="DT79" s="22">
        <f t="shared" si="417"/>
        <v>0</v>
      </c>
      <c r="DU79" s="22">
        <f t="shared" si="417"/>
        <v>0</v>
      </c>
      <c r="DV79" s="22">
        <f t="shared" si="417"/>
        <v>0</v>
      </c>
    </row>
    <row r="80" spans="1:126" ht="18.75">
      <c r="A80" s="13">
        <v>60</v>
      </c>
      <c r="B80" s="13"/>
      <c r="C80" s="14"/>
      <c r="D80" s="15" t="s">
        <v>115</v>
      </c>
      <c r="E80" s="16"/>
      <c r="F80" s="81">
        <v>1931.0300000000002</v>
      </c>
      <c r="G80" s="81">
        <v>206.2</v>
      </c>
      <c r="H80" s="81">
        <v>1956.0000000000002</v>
      </c>
      <c r="I80" s="17">
        <v>206.2</v>
      </c>
      <c r="J80" s="86">
        <v>2300.6</v>
      </c>
      <c r="K80" s="87">
        <v>0</v>
      </c>
      <c r="L80" s="87">
        <v>0</v>
      </c>
      <c r="M80" s="87">
        <f t="shared" si="246"/>
        <v>2300.6</v>
      </c>
      <c r="N80" s="87">
        <v>0</v>
      </c>
      <c r="O80" s="87">
        <v>0</v>
      </c>
      <c r="P80" s="87">
        <v>0</v>
      </c>
      <c r="Q80" s="87">
        <f t="shared" ref="Q80:Q84" si="418">N80+O80+P80</f>
        <v>0</v>
      </c>
      <c r="R80" s="87">
        <f t="shared" si="135"/>
        <v>2300.6</v>
      </c>
      <c r="S80" s="87">
        <v>180</v>
      </c>
      <c r="V80" s="17">
        <f t="shared" ref="V80" si="419">ROUND(H80*1.0583,2)</f>
        <v>2070.0300000000002</v>
      </c>
      <c r="W80" s="17">
        <f t="shared" ref="W80" si="420">ROUND(I80*1.0327,2)</f>
        <v>212.94</v>
      </c>
      <c r="X80" s="108">
        <f t="shared" si="310"/>
        <v>230.56999999999971</v>
      </c>
      <c r="Y80" s="109">
        <f t="shared" si="311"/>
        <v>-32.94</v>
      </c>
      <c r="Z80" s="116">
        <v>2070.0300000000002</v>
      </c>
      <c r="AA80" s="116"/>
      <c r="AB80" s="116">
        <f t="shared" si="312"/>
        <v>2070.0300000000002</v>
      </c>
      <c r="AC80" s="109">
        <f t="shared" si="313"/>
        <v>0</v>
      </c>
      <c r="AD80" s="108">
        <f t="shared" ref="AD80" si="421">IF(X80&gt;0,V80,R80)</f>
        <v>2070.0300000000002</v>
      </c>
      <c r="AE80" s="108">
        <f t="shared" ref="AE80" si="422">IF(Y80&gt;0,W80,S80)</f>
        <v>180</v>
      </c>
      <c r="AF80" s="108">
        <f t="shared" si="314"/>
        <v>162.4</v>
      </c>
      <c r="AG80" s="108">
        <f t="shared" si="315"/>
        <v>518</v>
      </c>
      <c r="AH80" s="108">
        <f t="shared" si="316"/>
        <v>45</v>
      </c>
      <c r="AI80" s="127">
        <f t="shared" si="317"/>
        <v>173</v>
      </c>
      <c r="AJ80" s="108">
        <f t="shared" si="318"/>
        <v>15</v>
      </c>
      <c r="AM80" s="108">
        <f t="shared" si="319"/>
        <v>517.51</v>
      </c>
      <c r="AN80" s="108">
        <f t="shared" si="320"/>
        <v>43.83</v>
      </c>
      <c r="AQ80" s="108">
        <f t="shared" si="321"/>
        <v>1035.51</v>
      </c>
      <c r="AR80" s="138">
        <f t="shared" si="322"/>
        <v>88.83</v>
      </c>
      <c r="AS80" s="138"/>
      <c r="AT80" s="142">
        <v>45</v>
      </c>
      <c r="AU80" s="138">
        <f t="shared" si="302"/>
        <v>517.51</v>
      </c>
      <c r="AV80" s="108">
        <f>ROUND(AE80*25%,2)-13.83</f>
        <v>31.17</v>
      </c>
      <c r="AY80" s="108">
        <f t="shared" si="303"/>
        <v>1726.02</v>
      </c>
      <c r="AZ80" s="108">
        <f t="shared" si="304"/>
        <v>180</v>
      </c>
      <c r="BA80" s="108">
        <f t="shared" si="305"/>
        <v>1906.02</v>
      </c>
      <c r="BB80" s="139">
        <v>1777.57</v>
      </c>
      <c r="BC80" s="139">
        <v>165.47</v>
      </c>
      <c r="BD80" s="139">
        <f t="shared" si="306"/>
        <v>-51.549999999999955</v>
      </c>
      <c r="BE80" s="139">
        <f t="shared" si="307"/>
        <v>14.530000000000001</v>
      </c>
      <c r="BF80" s="139">
        <f t="shared" si="308"/>
        <v>355.51</v>
      </c>
      <c r="BG80" s="139">
        <f t="shared" si="309"/>
        <v>33.090000000000003</v>
      </c>
      <c r="BH80" s="108">
        <v>172.03</v>
      </c>
      <c r="BI80" s="108">
        <v>9.2799999999999994</v>
      </c>
      <c r="BL80" s="108">
        <f t="shared" si="332"/>
        <v>1898.05</v>
      </c>
      <c r="BM80" s="108">
        <f t="shared" si="335"/>
        <v>189.28</v>
      </c>
      <c r="BN80" s="108">
        <f t="shared" si="336"/>
        <v>2087.33</v>
      </c>
      <c r="BO80" s="108">
        <v>1963.45</v>
      </c>
      <c r="BP80" s="127">
        <v>185.21</v>
      </c>
      <c r="BQ80" s="108">
        <f t="shared" si="337"/>
        <v>-65.400000000000091</v>
      </c>
      <c r="BR80" s="108">
        <f t="shared" si="338"/>
        <v>4.0699999999999932</v>
      </c>
      <c r="BS80" s="108">
        <f t="shared" si="339"/>
        <v>178.5</v>
      </c>
      <c r="BT80" s="108">
        <f t="shared" si="340"/>
        <v>16.84</v>
      </c>
      <c r="BU80" s="108">
        <f t="shared" si="364"/>
        <v>243.90000000000009</v>
      </c>
      <c r="BV80" s="108">
        <v>60</v>
      </c>
      <c r="BW80" s="109">
        <v>18.05</v>
      </c>
      <c r="BX80" s="108">
        <f>10.7+0.02</f>
        <v>10.719999999999999</v>
      </c>
      <c r="CA80" s="108">
        <v>2160</v>
      </c>
      <c r="CB80" s="108">
        <v>260</v>
      </c>
      <c r="CC80">
        <v>2376</v>
      </c>
      <c r="CD80">
        <v>299</v>
      </c>
      <c r="CE80" s="189">
        <v>198</v>
      </c>
      <c r="CF80" s="189">
        <v>25</v>
      </c>
      <c r="CG80" s="189">
        <f t="shared" si="341"/>
        <v>540</v>
      </c>
      <c r="CH80" s="189">
        <f t="shared" si="342"/>
        <v>65</v>
      </c>
      <c r="CI80" s="150"/>
      <c r="CJ80" s="150"/>
      <c r="CK80" s="150">
        <v>595</v>
      </c>
      <c r="CL80" s="150">
        <f>182-82-20</f>
        <v>80</v>
      </c>
      <c r="CM80" s="150"/>
      <c r="CN80" s="150">
        <v>65.05</v>
      </c>
      <c r="CO80" s="150">
        <v>2380</v>
      </c>
      <c r="CP80" s="150">
        <v>385</v>
      </c>
      <c r="CQ80" s="150">
        <f t="shared" si="343"/>
        <v>2380</v>
      </c>
      <c r="CR80" s="150">
        <f t="shared" si="344"/>
        <v>320</v>
      </c>
      <c r="CS80" s="150">
        <f t="shared" si="345"/>
        <v>2380</v>
      </c>
      <c r="CT80" s="150">
        <f t="shared" si="346"/>
        <v>320</v>
      </c>
      <c r="CU80" s="150">
        <v>2380</v>
      </c>
      <c r="CV80" s="150">
        <v>350</v>
      </c>
      <c r="CW80" s="150">
        <f t="shared" si="349"/>
        <v>595</v>
      </c>
      <c r="CX80" s="150">
        <f>ROUND(CV80*25%,2)-9</f>
        <v>78.5</v>
      </c>
      <c r="CY80" s="150"/>
      <c r="CZ80" s="150"/>
      <c r="DA80" s="150">
        <f t="shared" si="350"/>
        <v>1388</v>
      </c>
      <c r="DB80" s="150">
        <f t="shared" si="351"/>
        <v>248.55</v>
      </c>
      <c r="DC80" s="150">
        <v>1308.48</v>
      </c>
      <c r="DD80" s="150">
        <v>154.03</v>
      </c>
      <c r="DE80" s="150">
        <f t="shared" si="352"/>
        <v>79.519999999999982</v>
      </c>
      <c r="DF80" s="150">
        <f t="shared" si="353"/>
        <v>94.52000000000001</v>
      </c>
      <c r="DG80" s="150">
        <f>ROUND(0.25*(MIN(CU80,DO80)),2)</f>
        <v>561.25</v>
      </c>
      <c r="DH80" s="150">
        <f>ROUND(0.25*(MIN(CV80,DP80)),2)</f>
        <v>87.5</v>
      </c>
      <c r="DI80" s="150">
        <f t="shared" si="354"/>
        <v>481.73</v>
      </c>
      <c r="DJ80" s="150">
        <f>+DH80-DF80+7.02</f>
        <v>-1.0658141036401503E-14</v>
      </c>
      <c r="DK80" s="104">
        <f t="shared" si="165"/>
        <v>375.27</v>
      </c>
      <c r="DL80" s="104">
        <f t="shared" si="166"/>
        <v>151.44999999999999</v>
      </c>
      <c r="DM80" s="104">
        <f t="shared" si="333"/>
        <v>510.27</v>
      </c>
      <c r="DN80" s="104">
        <f t="shared" si="334"/>
        <v>101.45</v>
      </c>
      <c r="DO80" s="104">
        <v>2245</v>
      </c>
      <c r="DP80" s="104">
        <v>400</v>
      </c>
      <c r="DQ80" s="104">
        <v>2480</v>
      </c>
      <c r="DR80" s="104">
        <v>160</v>
      </c>
    </row>
    <row r="81" spans="1:128" ht="18.75">
      <c r="A81" s="13">
        <v>61</v>
      </c>
      <c r="B81" s="13"/>
      <c r="C81" s="14"/>
      <c r="D81" s="15" t="s">
        <v>116</v>
      </c>
      <c r="E81" s="16"/>
      <c r="F81" s="81">
        <v>1278.4100000000001</v>
      </c>
      <c r="G81" s="81">
        <v>0</v>
      </c>
      <c r="H81" s="81">
        <v>1435.15</v>
      </c>
      <c r="I81" s="17">
        <v>0</v>
      </c>
      <c r="J81" s="86">
        <v>1615</v>
      </c>
      <c r="K81" s="87">
        <v>0</v>
      </c>
      <c r="L81" s="87">
        <v>0</v>
      </c>
      <c r="M81" s="87">
        <f t="shared" si="246"/>
        <v>1615</v>
      </c>
      <c r="N81" s="87">
        <v>65</v>
      </c>
      <c r="O81" s="87">
        <v>0</v>
      </c>
      <c r="P81" s="87">
        <v>0</v>
      </c>
      <c r="Q81" s="87">
        <f t="shared" si="418"/>
        <v>65</v>
      </c>
      <c r="R81" s="87">
        <f t="shared" si="135"/>
        <v>1680</v>
      </c>
      <c r="S81" s="87">
        <v>0</v>
      </c>
      <c r="V81" s="17">
        <f t="shared" ref="V81" si="423">ROUND(H81*1.0583,2)</f>
        <v>1518.82</v>
      </c>
      <c r="W81" s="17">
        <f t="shared" ref="W81" si="424">ROUND(I81*1.0327,2)</f>
        <v>0</v>
      </c>
      <c r="X81" s="108">
        <f t="shared" si="310"/>
        <v>161.18000000000006</v>
      </c>
      <c r="Y81" s="108">
        <f t="shared" si="311"/>
        <v>0</v>
      </c>
      <c r="Z81" s="116">
        <v>1468.82</v>
      </c>
      <c r="AA81" s="116">
        <v>50</v>
      </c>
      <c r="AB81" s="108">
        <f t="shared" si="312"/>
        <v>1518.82</v>
      </c>
      <c r="AC81" s="109">
        <f t="shared" si="313"/>
        <v>0</v>
      </c>
      <c r="AD81" s="108">
        <f t="shared" ref="AD81" si="425">IF(X81&gt;0,V81,R81)</f>
        <v>1518.82</v>
      </c>
      <c r="AE81" s="108">
        <f t="shared" ref="AE81" si="426">IF(Y81&gt;0,W81,S81)</f>
        <v>0</v>
      </c>
      <c r="AF81" s="108">
        <f t="shared" si="314"/>
        <v>0</v>
      </c>
      <c r="AG81" s="108">
        <f t="shared" si="315"/>
        <v>380</v>
      </c>
      <c r="AH81" s="108">
        <f t="shared" si="316"/>
        <v>0</v>
      </c>
      <c r="AI81" s="127">
        <f t="shared" si="317"/>
        <v>127</v>
      </c>
      <c r="AJ81" s="108">
        <f t="shared" si="318"/>
        <v>0</v>
      </c>
      <c r="AM81" s="108">
        <f t="shared" si="319"/>
        <v>379.71</v>
      </c>
      <c r="AN81" s="108">
        <f t="shared" si="320"/>
        <v>0</v>
      </c>
      <c r="AQ81" s="108">
        <f t="shared" si="321"/>
        <v>759.71</v>
      </c>
      <c r="AR81" s="108">
        <f t="shared" si="322"/>
        <v>0</v>
      </c>
      <c r="AU81" s="108">
        <f t="shared" si="302"/>
        <v>379.71</v>
      </c>
      <c r="AV81" s="108">
        <f t="shared" si="184"/>
        <v>0</v>
      </c>
      <c r="AY81" s="108">
        <f t="shared" si="303"/>
        <v>1266.42</v>
      </c>
      <c r="AZ81" s="108">
        <f t="shared" si="304"/>
        <v>0</v>
      </c>
      <c r="BA81" s="108">
        <f t="shared" si="305"/>
        <v>1266.42</v>
      </c>
      <c r="BB81" s="139">
        <v>1205.5</v>
      </c>
      <c r="BD81" s="139">
        <f t="shared" si="306"/>
        <v>60.920000000000073</v>
      </c>
      <c r="BE81" s="139">
        <f t="shared" si="307"/>
        <v>0</v>
      </c>
      <c r="BF81" s="139">
        <f t="shared" si="308"/>
        <v>241.1</v>
      </c>
      <c r="BG81" s="139">
        <f t="shared" si="309"/>
        <v>0</v>
      </c>
      <c r="BH81" s="108">
        <v>90.09</v>
      </c>
      <c r="BI81" s="108">
        <v>0</v>
      </c>
      <c r="BL81" s="108">
        <f t="shared" si="332"/>
        <v>1356.51</v>
      </c>
      <c r="BM81" s="108">
        <f t="shared" si="335"/>
        <v>0</v>
      </c>
      <c r="BN81" s="108">
        <f t="shared" si="336"/>
        <v>1356.51</v>
      </c>
      <c r="BO81" s="108">
        <v>1211.5</v>
      </c>
      <c r="BP81" s="127"/>
      <c r="BQ81" s="108">
        <f t="shared" si="337"/>
        <v>145.01</v>
      </c>
      <c r="BR81" s="108">
        <f t="shared" si="338"/>
        <v>0</v>
      </c>
      <c r="BS81" s="108">
        <f t="shared" si="339"/>
        <v>110.14</v>
      </c>
      <c r="BT81" s="108">
        <f t="shared" si="340"/>
        <v>0</v>
      </c>
      <c r="BU81" s="108">
        <f t="shared" si="364"/>
        <v>-34.86999999999999</v>
      </c>
      <c r="BV81" s="108">
        <f t="shared" si="411"/>
        <v>0</v>
      </c>
      <c r="BW81" s="109">
        <f>197.18+126</f>
        <v>323.18</v>
      </c>
      <c r="CA81" s="108">
        <v>1644.8200000000002</v>
      </c>
      <c r="CB81" s="108">
        <v>0</v>
      </c>
      <c r="CC81">
        <v>1809.3</v>
      </c>
      <c r="CD81">
        <v>0</v>
      </c>
      <c r="CE81" s="189">
        <v>151</v>
      </c>
      <c r="CF81" s="189">
        <v>0</v>
      </c>
      <c r="CG81" s="189">
        <f t="shared" si="341"/>
        <v>411.21</v>
      </c>
      <c r="CH81" s="189">
        <f t="shared" si="342"/>
        <v>0</v>
      </c>
      <c r="CI81" s="150"/>
      <c r="CJ81" s="150"/>
      <c r="CK81" s="150">
        <v>411</v>
      </c>
      <c r="CL81" s="150">
        <v>0</v>
      </c>
      <c r="CM81" s="150"/>
      <c r="CN81" s="150"/>
      <c r="CO81" s="150">
        <v>1746.65</v>
      </c>
      <c r="CP81" s="150"/>
      <c r="CQ81" s="150">
        <f t="shared" si="343"/>
        <v>1644</v>
      </c>
      <c r="CR81" s="150">
        <f t="shared" si="344"/>
        <v>0</v>
      </c>
      <c r="CS81" s="150">
        <f t="shared" si="345"/>
        <v>1644</v>
      </c>
      <c r="CT81" s="150">
        <f t="shared" si="346"/>
        <v>0</v>
      </c>
      <c r="CU81" s="150">
        <v>1702</v>
      </c>
      <c r="CV81" s="150">
        <v>0</v>
      </c>
      <c r="CW81" s="150">
        <f t="shared" si="349"/>
        <v>425.5</v>
      </c>
      <c r="CX81" s="150">
        <f t="shared" si="366"/>
        <v>0</v>
      </c>
      <c r="CY81" s="150"/>
      <c r="CZ81" s="150"/>
      <c r="DA81" s="150">
        <f t="shared" si="350"/>
        <v>987.5</v>
      </c>
      <c r="DB81" s="150">
        <f t="shared" si="351"/>
        <v>0</v>
      </c>
      <c r="DC81" s="150">
        <v>628.54</v>
      </c>
      <c r="DD81" s="150">
        <v>0</v>
      </c>
      <c r="DE81" s="150">
        <f t="shared" si="352"/>
        <v>358.96000000000004</v>
      </c>
      <c r="DF81" s="150">
        <f t="shared" si="353"/>
        <v>0</v>
      </c>
      <c r="DG81" s="150">
        <f>ROUND(0.25*(MIN(CU81,DO81)),2)</f>
        <v>425.5</v>
      </c>
      <c r="DH81" s="150">
        <f>ROUND(0.25*(MIN(CV81,DP81)),2)</f>
        <v>0</v>
      </c>
      <c r="DI81" s="150">
        <f t="shared" si="354"/>
        <v>66.539999999999964</v>
      </c>
      <c r="DJ81" s="150">
        <f>+DH81-DF81</f>
        <v>0</v>
      </c>
      <c r="DK81" s="104">
        <f t="shared" si="165"/>
        <v>647.96</v>
      </c>
      <c r="DL81" s="104">
        <f t="shared" si="166"/>
        <v>0</v>
      </c>
      <c r="DM81" s="104">
        <f t="shared" si="333"/>
        <v>647.96</v>
      </c>
      <c r="DN81" s="104">
        <f t="shared" si="334"/>
        <v>0</v>
      </c>
      <c r="DO81" s="179">
        <f>76+1626</f>
        <v>1702</v>
      </c>
      <c r="DP81" s="104">
        <v>0</v>
      </c>
      <c r="DQ81" s="178">
        <f>78.18+1725</f>
        <v>1803.18</v>
      </c>
      <c r="DR81" s="104">
        <v>0</v>
      </c>
    </row>
    <row r="82" spans="1:128" s="176" customFormat="1" ht="18.75">
      <c r="A82" s="18"/>
      <c r="B82" s="18" t="s">
        <v>117</v>
      </c>
      <c r="C82" s="19" t="s">
        <v>118</v>
      </c>
      <c r="D82" s="20" t="s">
        <v>115</v>
      </c>
      <c r="E82" s="21" t="s">
        <v>119</v>
      </c>
      <c r="F82" s="22">
        <v>3209.4400000000005</v>
      </c>
      <c r="G82" s="22">
        <v>206.2</v>
      </c>
      <c r="H82" s="22">
        <v>3391.1500000000005</v>
      </c>
      <c r="I82" s="22">
        <v>206.2</v>
      </c>
      <c r="J82" s="88">
        <f t="shared" ref="J82:AA82" si="427">+J80+J81</f>
        <v>3915.6</v>
      </c>
      <c r="K82" s="88">
        <f t="shared" si="427"/>
        <v>0</v>
      </c>
      <c r="L82" s="88">
        <f t="shared" si="427"/>
        <v>0</v>
      </c>
      <c r="M82" s="88">
        <f t="shared" si="427"/>
        <v>3915.6</v>
      </c>
      <c r="N82" s="88">
        <f t="shared" si="427"/>
        <v>65</v>
      </c>
      <c r="O82" s="88">
        <f t="shared" si="427"/>
        <v>0</v>
      </c>
      <c r="P82" s="88">
        <f t="shared" si="427"/>
        <v>0</v>
      </c>
      <c r="Q82" s="88">
        <f t="shared" si="427"/>
        <v>65</v>
      </c>
      <c r="R82" s="88">
        <f t="shared" si="427"/>
        <v>3980.6</v>
      </c>
      <c r="S82" s="88">
        <f t="shared" si="427"/>
        <v>180</v>
      </c>
      <c r="T82" s="88">
        <f t="shared" si="427"/>
        <v>0</v>
      </c>
      <c r="U82" s="88">
        <f t="shared" si="427"/>
        <v>0</v>
      </c>
      <c r="V82" s="88">
        <f t="shared" si="427"/>
        <v>3588.8500000000004</v>
      </c>
      <c r="W82" s="88">
        <f t="shared" si="427"/>
        <v>212.94</v>
      </c>
      <c r="X82" s="88">
        <f t="shared" si="427"/>
        <v>391.74999999999977</v>
      </c>
      <c r="Y82" s="88">
        <f t="shared" si="427"/>
        <v>-32.94</v>
      </c>
      <c r="Z82" s="88">
        <f t="shared" si="427"/>
        <v>3538.8500000000004</v>
      </c>
      <c r="AA82" s="88">
        <f t="shared" si="427"/>
        <v>50</v>
      </c>
      <c r="AB82" s="22">
        <f t="shared" si="312"/>
        <v>3588.8500000000004</v>
      </c>
      <c r="AC82" s="175">
        <f t="shared" si="313"/>
        <v>0</v>
      </c>
      <c r="AD82" s="22">
        <f t="shared" ref="AD82:CP82" si="428">+AD80+AD81</f>
        <v>3588.8500000000004</v>
      </c>
      <c r="AE82" s="22">
        <f t="shared" si="428"/>
        <v>180</v>
      </c>
      <c r="AF82" s="22">
        <f t="shared" si="428"/>
        <v>162.4</v>
      </c>
      <c r="AG82" s="22">
        <f t="shared" si="428"/>
        <v>898</v>
      </c>
      <c r="AH82" s="22">
        <f t="shared" si="428"/>
        <v>45</v>
      </c>
      <c r="AI82" s="118">
        <f t="shared" si="428"/>
        <v>300</v>
      </c>
      <c r="AJ82" s="22">
        <f t="shared" si="428"/>
        <v>15</v>
      </c>
      <c r="AK82" s="22">
        <f t="shared" si="428"/>
        <v>0</v>
      </c>
      <c r="AL82" s="22">
        <f t="shared" si="428"/>
        <v>0</v>
      </c>
      <c r="AM82" s="22">
        <f t="shared" si="428"/>
        <v>897.22</v>
      </c>
      <c r="AN82" s="22">
        <f t="shared" si="428"/>
        <v>43.83</v>
      </c>
      <c r="AO82" s="22">
        <f t="shared" si="428"/>
        <v>0</v>
      </c>
      <c r="AP82" s="22">
        <f t="shared" si="428"/>
        <v>0</v>
      </c>
      <c r="AQ82" s="22">
        <f t="shared" si="428"/>
        <v>1795.22</v>
      </c>
      <c r="AR82" s="22">
        <f t="shared" si="428"/>
        <v>88.83</v>
      </c>
      <c r="AS82" s="22">
        <f t="shared" si="428"/>
        <v>0</v>
      </c>
      <c r="AT82" s="22">
        <f t="shared" si="428"/>
        <v>45</v>
      </c>
      <c r="AU82" s="22">
        <f t="shared" si="428"/>
        <v>897.22</v>
      </c>
      <c r="AV82" s="22">
        <f t="shared" si="428"/>
        <v>31.17</v>
      </c>
      <c r="AW82" s="22">
        <f t="shared" si="428"/>
        <v>0</v>
      </c>
      <c r="AX82" s="22">
        <f t="shared" si="428"/>
        <v>0</v>
      </c>
      <c r="AY82" s="22">
        <f t="shared" si="428"/>
        <v>2992.44</v>
      </c>
      <c r="AZ82" s="22">
        <f t="shared" si="428"/>
        <v>180</v>
      </c>
      <c r="BA82" s="22">
        <f t="shared" si="428"/>
        <v>3172.44</v>
      </c>
      <c r="BB82" s="22">
        <f t="shared" si="428"/>
        <v>2983.0699999999997</v>
      </c>
      <c r="BC82" s="22">
        <f t="shared" si="428"/>
        <v>165.47</v>
      </c>
      <c r="BD82" s="22">
        <f t="shared" si="428"/>
        <v>9.3700000000001182</v>
      </c>
      <c r="BE82" s="22">
        <f t="shared" si="428"/>
        <v>14.530000000000001</v>
      </c>
      <c r="BF82" s="22">
        <f t="shared" si="428"/>
        <v>596.61</v>
      </c>
      <c r="BG82" s="118">
        <f t="shared" si="428"/>
        <v>33.090000000000003</v>
      </c>
      <c r="BH82" s="118">
        <f t="shared" si="428"/>
        <v>262.12</v>
      </c>
      <c r="BI82" s="118">
        <f t="shared" si="428"/>
        <v>9.2799999999999994</v>
      </c>
      <c r="BJ82" s="118">
        <f t="shared" si="428"/>
        <v>0</v>
      </c>
      <c r="BK82" s="118">
        <f t="shared" si="428"/>
        <v>0</v>
      </c>
      <c r="BL82" s="118">
        <f t="shared" si="428"/>
        <v>3254.56</v>
      </c>
      <c r="BM82" s="118">
        <f t="shared" si="428"/>
        <v>189.28</v>
      </c>
      <c r="BN82" s="118">
        <f t="shared" si="428"/>
        <v>3443.84</v>
      </c>
      <c r="BO82" s="118">
        <f t="shared" si="428"/>
        <v>3174.95</v>
      </c>
      <c r="BP82" s="118">
        <f t="shared" si="428"/>
        <v>185.21</v>
      </c>
      <c r="BQ82" s="22">
        <f t="shared" si="428"/>
        <v>79.6099999999999</v>
      </c>
      <c r="BR82" s="22">
        <f t="shared" si="428"/>
        <v>4.0699999999999932</v>
      </c>
      <c r="BS82" s="22">
        <f t="shared" si="428"/>
        <v>288.64</v>
      </c>
      <c r="BT82" s="22">
        <f t="shared" si="428"/>
        <v>16.84</v>
      </c>
      <c r="BU82" s="22">
        <f t="shared" si="428"/>
        <v>209.03000000000009</v>
      </c>
      <c r="BV82" s="22">
        <f t="shared" si="428"/>
        <v>60</v>
      </c>
      <c r="BW82" s="22">
        <f t="shared" si="428"/>
        <v>341.23</v>
      </c>
      <c r="BX82" s="22">
        <f t="shared" si="428"/>
        <v>10.719999999999999</v>
      </c>
      <c r="BY82" s="22">
        <f t="shared" si="428"/>
        <v>0</v>
      </c>
      <c r="BZ82" s="22">
        <f t="shared" si="428"/>
        <v>0</v>
      </c>
      <c r="CA82" s="22">
        <f t="shared" si="428"/>
        <v>3804.82</v>
      </c>
      <c r="CB82" s="22">
        <f t="shared" si="428"/>
        <v>260</v>
      </c>
      <c r="CC82" s="22">
        <f t="shared" si="428"/>
        <v>4185.3</v>
      </c>
      <c r="CD82" s="118">
        <f t="shared" si="428"/>
        <v>299</v>
      </c>
      <c r="CE82" s="190">
        <f t="shared" si="428"/>
        <v>349</v>
      </c>
      <c r="CF82" s="190">
        <f t="shared" si="428"/>
        <v>25</v>
      </c>
      <c r="CG82" s="190">
        <f t="shared" si="428"/>
        <v>951.21</v>
      </c>
      <c r="CH82" s="190">
        <f t="shared" si="428"/>
        <v>65</v>
      </c>
      <c r="CI82" s="190">
        <f t="shared" si="428"/>
        <v>0</v>
      </c>
      <c r="CJ82" s="190">
        <f t="shared" si="428"/>
        <v>0</v>
      </c>
      <c r="CK82" s="190">
        <f t="shared" si="428"/>
        <v>1006</v>
      </c>
      <c r="CL82" s="190">
        <f t="shared" si="428"/>
        <v>80</v>
      </c>
      <c r="CM82" s="190">
        <f t="shared" si="428"/>
        <v>0</v>
      </c>
      <c r="CN82" s="190">
        <f t="shared" si="428"/>
        <v>65.05</v>
      </c>
      <c r="CO82" s="190">
        <f t="shared" si="428"/>
        <v>4126.6499999999996</v>
      </c>
      <c r="CP82" s="190">
        <f t="shared" si="428"/>
        <v>385</v>
      </c>
      <c r="CQ82" s="190">
        <f t="shared" ref="CQ82:DT82" si="429">+CQ80+CQ81</f>
        <v>4024</v>
      </c>
      <c r="CR82" s="190">
        <f t="shared" si="429"/>
        <v>320</v>
      </c>
      <c r="CS82" s="190">
        <f t="shared" si="429"/>
        <v>4024</v>
      </c>
      <c r="CT82" s="190">
        <f t="shared" si="429"/>
        <v>320</v>
      </c>
      <c r="CU82" s="190">
        <f t="shared" si="429"/>
        <v>4082</v>
      </c>
      <c r="CV82" s="190">
        <f t="shared" si="429"/>
        <v>350</v>
      </c>
      <c r="CW82" s="190">
        <f t="shared" si="429"/>
        <v>1020.5</v>
      </c>
      <c r="CX82" s="190">
        <f t="shared" si="429"/>
        <v>78.5</v>
      </c>
      <c r="CY82" s="190">
        <f t="shared" si="429"/>
        <v>0</v>
      </c>
      <c r="CZ82" s="190">
        <f t="shared" si="429"/>
        <v>0</v>
      </c>
      <c r="DA82" s="190">
        <f t="shared" si="429"/>
        <v>2375.5</v>
      </c>
      <c r="DB82" s="190">
        <f t="shared" si="429"/>
        <v>248.55</v>
      </c>
      <c r="DC82" s="190">
        <f t="shared" si="429"/>
        <v>1937.02</v>
      </c>
      <c r="DD82" s="190">
        <f t="shared" si="429"/>
        <v>154.03</v>
      </c>
      <c r="DE82" s="190">
        <f t="shared" si="429"/>
        <v>438.48</v>
      </c>
      <c r="DF82" s="190">
        <f t="shared" si="429"/>
        <v>94.52000000000001</v>
      </c>
      <c r="DG82" s="190">
        <f t="shared" si="429"/>
        <v>986.75</v>
      </c>
      <c r="DH82" s="190">
        <f t="shared" si="429"/>
        <v>87.5</v>
      </c>
      <c r="DI82" s="190">
        <f t="shared" si="429"/>
        <v>548.27</v>
      </c>
      <c r="DJ82" s="190">
        <f t="shared" si="429"/>
        <v>-1.0658141036401503E-14</v>
      </c>
      <c r="DK82" s="104">
        <f t="shared" si="165"/>
        <v>1023.23</v>
      </c>
      <c r="DL82" s="104">
        <f t="shared" si="166"/>
        <v>151.44999999999999</v>
      </c>
      <c r="DM82" s="104">
        <f t="shared" si="333"/>
        <v>1158.23</v>
      </c>
      <c r="DN82" s="104">
        <f t="shared" si="334"/>
        <v>101.45</v>
      </c>
      <c r="DO82" s="22">
        <f t="shared" si="429"/>
        <v>3947</v>
      </c>
      <c r="DP82" s="22">
        <f t="shared" si="429"/>
        <v>400</v>
      </c>
      <c r="DQ82" s="22">
        <f t="shared" si="429"/>
        <v>4283.18</v>
      </c>
      <c r="DR82" s="22">
        <f t="shared" si="429"/>
        <v>160</v>
      </c>
      <c r="DS82" s="22">
        <f t="shared" si="429"/>
        <v>0</v>
      </c>
      <c r="DT82" s="22">
        <f t="shared" si="429"/>
        <v>0</v>
      </c>
    </row>
    <row r="83" spans="1:128" ht="18.75">
      <c r="A83" s="13">
        <v>62</v>
      </c>
      <c r="B83" s="13"/>
      <c r="C83" s="14"/>
      <c r="D83" s="15" t="s">
        <v>120</v>
      </c>
      <c r="E83" s="16"/>
      <c r="F83" s="81">
        <v>357.6400000000001</v>
      </c>
      <c r="G83" s="81">
        <v>0.12</v>
      </c>
      <c r="H83" s="81">
        <v>357.6400000000001</v>
      </c>
      <c r="I83" s="17">
        <v>0.12</v>
      </c>
      <c r="J83" s="86">
        <v>400</v>
      </c>
      <c r="K83" s="87">
        <v>0</v>
      </c>
      <c r="L83" s="87">
        <v>0</v>
      </c>
      <c r="M83" s="87">
        <f t="shared" si="246"/>
        <v>400</v>
      </c>
      <c r="N83" s="87">
        <v>0</v>
      </c>
      <c r="O83" s="87">
        <v>0</v>
      </c>
      <c r="P83" s="87">
        <v>0</v>
      </c>
      <c r="Q83" s="87">
        <f t="shared" si="418"/>
        <v>0</v>
      </c>
      <c r="R83" s="87">
        <f t="shared" si="135"/>
        <v>400</v>
      </c>
      <c r="S83" s="87">
        <v>0</v>
      </c>
      <c r="V83" s="17">
        <f t="shared" ref="V83" si="430">ROUND(H83*1.0583,2)</f>
        <v>378.49</v>
      </c>
      <c r="W83" s="17">
        <f t="shared" ref="W83" si="431">ROUND(I83*1.0327,2)</f>
        <v>0.12</v>
      </c>
      <c r="X83" s="108">
        <f t="shared" si="310"/>
        <v>21.509999999999991</v>
      </c>
      <c r="Y83" s="109">
        <f t="shared" si="311"/>
        <v>-0.12</v>
      </c>
      <c r="Z83" s="116">
        <v>378.49</v>
      </c>
      <c r="AA83" s="116"/>
      <c r="AB83" s="116">
        <f t="shared" si="312"/>
        <v>378.49</v>
      </c>
      <c r="AC83" s="109">
        <f t="shared" si="313"/>
        <v>0</v>
      </c>
      <c r="AD83" s="108">
        <f t="shared" ref="AD83" si="432">IF(X83&gt;0,V83,R83)</f>
        <v>378.49</v>
      </c>
      <c r="AE83" s="108">
        <f t="shared" ref="AE83" si="433">IF(Y83&gt;0,W83,S83)</f>
        <v>0</v>
      </c>
      <c r="AF83" s="108">
        <f t="shared" si="314"/>
        <v>0</v>
      </c>
      <c r="AG83" s="108">
        <f t="shared" si="315"/>
        <v>95</v>
      </c>
      <c r="AH83" s="108">
        <f t="shared" si="316"/>
        <v>0</v>
      </c>
      <c r="AI83" s="127">
        <f t="shared" si="317"/>
        <v>32</v>
      </c>
      <c r="AJ83" s="108">
        <f t="shared" si="318"/>
        <v>0</v>
      </c>
      <c r="AK83" s="143">
        <v>25</v>
      </c>
      <c r="AM83" s="108">
        <f t="shared" si="319"/>
        <v>94.62</v>
      </c>
      <c r="AN83" s="108">
        <f t="shared" si="320"/>
        <v>0</v>
      </c>
      <c r="AQ83" s="108">
        <f t="shared" si="321"/>
        <v>214.62</v>
      </c>
      <c r="AR83" s="108">
        <f t="shared" si="322"/>
        <v>0</v>
      </c>
      <c r="AS83" s="116">
        <v>10</v>
      </c>
      <c r="AT83" s="116"/>
      <c r="AU83" s="116">
        <f t="shared" si="302"/>
        <v>94.62</v>
      </c>
      <c r="AV83" s="116">
        <f t="shared" si="184"/>
        <v>0</v>
      </c>
      <c r="AW83" s="143">
        <v>25</v>
      </c>
      <c r="AY83" s="108">
        <f t="shared" si="303"/>
        <v>376.24</v>
      </c>
      <c r="AZ83" s="108">
        <f t="shared" si="304"/>
        <v>0</v>
      </c>
      <c r="BA83" s="108">
        <f t="shared" si="305"/>
        <v>376.24</v>
      </c>
      <c r="BB83" s="139">
        <v>371.83</v>
      </c>
      <c r="BD83" s="139">
        <f t="shared" si="306"/>
        <v>4.410000000000025</v>
      </c>
      <c r="BE83" s="139">
        <f t="shared" si="307"/>
        <v>0</v>
      </c>
      <c r="BF83" s="139">
        <f t="shared" si="308"/>
        <v>74.37</v>
      </c>
      <c r="BG83" s="139">
        <f t="shared" si="309"/>
        <v>0</v>
      </c>
      <c r="BH83" s="108">
        <v>39.979999999999997</v>
      </c>
      <c r="BI83" s="108">
        <v>0</v>
      </c>
      <c r="BL83" s="108">
        <f t="shared" si="332"/>
        <v>416.22</v>
      </c>
      <c r="BM83" s="108">
        <f t="shared" si="335"/>
        <v>0</v>
      </c>
      <c r="BN83" s="108">
        <f t="shared" si="336"/>
        <v>416.22</v>
      </c>
      <c r="BO83" s="167">
        <v>408.09</v>
      </c>
      <c r="BP83" s="127">
        <v>0</v>
      </c>
      <c r="BQ83" s="108">
        <f t="shared" si="337"/>
        <v>8.1300000000000523</v>
      </c>
      <c r="BR83" s="108">
        <f t="shared" si="338"/>
        <v>0</v>
      </c>
      <c r="BS83" s="108">
        <f t="shared" si="339"/>
        <v>37.1</v>
      </c>
      <c r="BT83" s="108">
        <f t="shared" si="340"/>
        <v>0</v>
      </c>
      <c r="BU83" s="108">
        <f>ROUND(BS83-BQ83,2)</f>
        <v>28.97</v>
      </c>
      <c r="BV83" s="108">
        <f t="shared" si="411"/>
        <v>0</v>
      </c>
      <c r="BW83" s="109">
        <v>9.5399999999999991</v>
      </c>
      <c r="CA83" s="108">
        <v>454.73000000000008</v>
      </c>
      <c r="CB83" s="108">
        <v>0</v>
      </c>
      <c r="CC83">
        <v>500.2</v>
      </c>
      <c r="CD83">
        <v>0</v>
      </c>
      <c r="CE83" s="189">
        <v>42</v>
      </c>
      <c r="CF83" s="189">
        <v>0</v>
      </c>
      <c r="CG83" s="189">
        <f t="shared" si="341"/>
        <v>113.68</v>
      </c>
      <c r="CH83" s="189">
        <f t="shared" si="342"/>
        <v>0</v>
      </c>
      <c r="CI83" s="150"/>
      <c r="CJ83" s="150"/>
      <c r="CK83" s="150">
        <f>130-10</f>
        <v>120</v>
      </c>
      <c r="CL83" s="150">
        <v>0</v>
      </c>
      <c r="CM83" s="150"/>
      <c r="CN83" s="150"/>
      <c r="CO83" s="150">
        <v>500</v>
      </c>
      <c r="CP83" s="150"/>
      <c r="CQ83" s="150">
        <f t="shared" si="343"/>
        <v>480</v>
      </c>
      <c r="CR83" s="150">
        <f t="shared" si="344"/>
        <v>0</v>
      </c>
      <c r="CS83" s="150">
        <f t="shared" si="345"/>
        <v>480</v>
      </c>
      <c r="CT83" s="150">
        <f t="shared" si="346"/>
        <v>0</v>
      </c>
      <c r="CU83" s="150">
        <f t="shared" ref="CU83:CU84" si="434">IF(CQ83&lt;CS83,CQ83,CS83)</f>
        <v>480</v>
      </c>
      <c r="CV83" s="150">
        <f t="shared" ref="CV83:CV84" si="435">IF(CR83&lt;CT83,CR83,CT83)</f>
        <v>0</v>
      </c>
      <c r="CW83" s="150">
        <f t="shared" si="349"/>
        <v>120</v>
      </c>
      <c r="CX83" s="150">
        <f t="shared" si="366"/>
        <v>0</v>
      </c>
      <c r="CY83" s="150">
        <v>25</v>
      </c>
      <c r="CZ83" s="150"/>
      <c r="DA83" s="150">
        <f t="shared" si="350"/>
        <v>307</v>
      </c>
      <c r="DB83" s="150">
        <f t="shared" si="351"/>
        <v>0</v>
      </c>
      <c r="DC83" s="150">
        <v>300.5</v>
      </c>
      <c r="DD83" s="150">
        <v>0</v>
      </c>
      <c r="DE83" s="150">
        <f t="shared" si="352"/>
        <v>6.5</v>
      </c>
      <c r="DF83" s="150">
        <f t="shared" si="353"/>
        <v>0</v>
      </c>
      <c r="DG83" s="150">
        <f>ROUND(0.25*(MIN(CU83,DO83)),2)</f>
        <v>120</v>
      </c>
      <c r="DH83" s="150">
        <f>ROUND(0.25*(MIN(CV83,DP83)),2)</f>
        <v>0</v>
      </c>
      <c r="DI83" s="150">
        <f t="shared" si="354"/>
        <v>113.5</v>
      </c>
      <c r="DJ83" s="150">
        <f>+DH83-DF83</f>
        <v>0</v>
      </c>
      <c r="DK83" s="104">
        <f t="shared" si="165"/>
        <v>99.5</v>
      </c>
      <c r="DL83" s="104">
        <f t="shared" si="166"/>
        <v>0</v>
      </c>
      <c r="DM83" s="104">
        <f t="shared" si="333"/>
        <v>59.5</v>
      </c>
      <c r="DN83" s="104">
        <f t="shared" si="334"/>
        <v>0</v>
      </c>
      <c r="DO83" s="104">
        <v>520</v>
      </c>
      <c r="DP83" s="104">
        <v>0</v>
      </c>
      <c r="DQ83" s="104">
        <v>550</v>
      </c>
      <c r="DR83" s="104">
        <v>0</v>
      </c>
    </row>
    <row r="84" spans="1:128" ht="18.75">
      <c r="A84" s="13">
        <v>63</v>
      </c>
      <c r="B84" s="13"/>
      <c r="C84" s="14"/>
      <c r="D84" s="145" t="s">
        <v>562</v>
      </c>
      <c r="E84" s="16"/>
      <c r="F84" s="81">
        <v>1864.65</v>
      </c>
      <c r="G84" s="81">
        <v>0</v>
      </c>
      <c r="H84" s="81">
        <v>1864.65</v>
      </c>
      <c r="I84" s="17">
        <v>0</v>
      </c>
      <c r="J84" s="86">
        <v>2522.88</v>
      </c>
      <c r="K84" s="87">
        <v>0</v>
      </c>
      <c r="L84" s="87">
        <v>0</v>
      </c>
      <c r="M84" s="87">
        <f t="shared" si="246"/>
        <v>2522.88</v>
      </c>
      <c r="N84" s="87">
        <v>145</v>
      </c>
      <c r="O84" s="87">
        <v>0</v>
      </c>
      <c r="P84" s="87">
        <v>0</v>
      </c>
      <c r="Q84" s="87">
        <f t="shared" si="418"/>
        <v>145</v>
      </c>
      <c r="R84" s="87">
        <f t="shared" si="135"/>
        <v>2667.88</v>
      </c>
      <c r="S84" s="87">
        <v>0</v>
      </c>
      <c r="V84" s="17">
        <f t="shared" ref="V84" si="436">ROUND(H84*1.0583,2)</f>
        <v>1973.36</v>
      </c>
      <c r="W84" s="17">
        <f t="shared" ref="W84" si="437">ROUND(I84*1.0327,2)</f>
        <v>0</v>
      </c>
      <c r="X84" s="108">
        <f t="shared" si="310"/>
        <v>694.52000000000021</v>
      </c>
      <c r="Y84" s="108">
        <f t="shared" si="311"/>
        <v>0</v>
      </c>
      <c r="Z84" s="116">
        <v>1873.36</v>
      </c>
      <c r="AA84" s="116">
        <v>100</v>
      </c>
      <c r="AB84" s="108">
        <f t="shared" si="312"/>
        <v>1973.36</v>
      </c>
      <c r="AC84" s="109">
        <f t="shared" si="313"/>
        <v>0</v>
      </c>
      <c r="AD84" s="108">
        <v>1973.36</v>
      </c>
      <c r="AE84" s="108">
        <v>0</v>
      </c>
      <c r="AF84" s="108">
        <v>0</v>
      </c>
      <c r="AG84" s="108">
        <v>493</v>
      </c>
      <c r="AH84" s="108">
        <v>0</v>
      </c>
      <c r="AI84" s="127">
        <v>164</v>
      </c>
      <c r="AJ84" s="108">
        <v>0</v>
      </c>
      <c r="AM84" s="108">
        <v>493.34</v>
      </c>
      <c r="AN84" s="108">
        <v>0</v>
      </c>
      <c r="AQ84" s="108">
        <v>986.33999999999992</v>
      </c>
      <c r="AR84" s="108">
        <v>0</v>
      </c>
      <c r="AS84" s="116"/>
      <c r="AT84" s="116"/>
      <c r="AU84" s="116">
        <v>493.34</v>
      </c>
      <c r="AV84" s="116">
        <v>0</v>
      </c>
      <c r="AW84" s="116"/>
      <c r="AY84" s="108">
        <f t="shared" si="303"/>
        <v>1643.6799999999998</v>
      </c>
      <c r="AZ84" s="108">
        <f t="shared" si="304"/>
        <v>0</v>
      </c>
      <c r="BA84" s="108">
        <f t="shared" si="305"/>
        <v>1643.6799999999998</v>
      </c>
      <c r="BB84" s="139">
        <v>1643.68</v>
      </c>
      <c r="BD84" s="139">
        <f t="shared" si="306"/>
        <v>0</v>
      </c>
      <c r="BE84" s="139">
        <f t="shared" si="307"/>
        <v>0</v>
      </c>
      <c r="BF84" s="139">
        <f t="shared" si="308"/>
        <v>328.74</v>
      </c>
      <c r="BG84" s="139">
        <f t="shared" si="309"/>
        <v>0</v>
      </c>
      <c r="BH84" s="108">
        <v>164.37</v>
      </c>
      <c r="BI84" s="108">
        <v>0</v>
      </c>
      <c r="BL84" s="108">
        <f t="shared" si="332"/>
        <v>1808.0499999999997</v>
      </c>
      <c r="BM84" s="108">
        <f t="shared" si="335"/>
        <v>0</v>
      </c>
      <c r="BN84" s="108">
        <f t="shared" si="336"/>
        <v>1808.0499999999997</v>
      </c>
      <c r="BO84" s="167">
        <f>1643.68</f>
        <v>1643.68</v>
      </c>
      <c r="BP84" s="127"/>
      <c r="BQ84" s="108">
        <f t="shared" si="337"/>
        <v>164.36999999999966</v>
      </c>
      <c r="BR84" s="108">
        <f t="shared" si="338"/>
        <v>0</v>
      </c>
      <c r="BS84" s="108">
        <f t="shared" si="339"/>
        <v>149.43</v>
      </c>
      <c r="BT84" s="108">
        <f t="shared" si="340"/>
        <v>0</v>
      </c>
      <c r="BU84" s="108">
        <f>ROUND(BS84-BQ84,2)</f>
        <v>-14.94</v>
      </c>
      <c r="BV84" s="108">
        <f t="shared" si="411"/>
        <v>0</v>
      </c>
      <c r="BW84" s="109">
        <v>241.89</v>
      </c>
      <c r="CA84" s="108">
        <v>2034.9999999999995</v>
      </c>
      <c r="CB84" s="108">
        <v>0</v>
      </c>
      <c r="CC84">
        <v>2238.5</v>
      </c>
      <c r="CD84">
        <v>0</v>
      </c>
      <c r="CE84" s="189">
        <v>187</v>
      </c>
      <c r="CF84" s="189">
        <v>0</v>
      </c>
      <c r="CG84" s="189">
        <f t="shared" si="341"/>
        <v>508.75</v>
      </c>
      <c r="CH84" s="189">
        <f t="shared" si="342"/>
        <v>0</v>
      </c>
      <c r="CI84" s="150"/>
      <c r="CJ84" s="150"/>
      <c r="CK84" s="150">
        <f>661-61-30</f>
        <v>570</v>
      </c>
      <c r="CL84" s="150">
        <v>0</v>
      </c>
      <c r="CM84" s="150"/>
      <c r="CN84" s="150"/>
      <c r="CO84" s="150">
        <v>2890</v>
      </c>
      <c r="CP84" s="150"/>
      <c r="CQ84" s="150">
        <f t="shared" si="343"/>
        <v>2280</v>
      </c>
      <c r="CR84" s="150">
        <f t="shared" si="344"/>
        <v>0</v>
      </c>
      <c r="CS84" s="150">
        <f t="shared" si="345"/>
        <v>2280</v>
      </c>
      <c r="CT84" s="150">
        <f t="shared" si="346"/>
        <v>0</v>
      </c>
      <c r="CU84" s="150">
        <f t="shared" si="434"/>
        <v>2280</v>
      </c>
      <c r="CV84" s="150">
        <f t="shared" si="435"/>
        <v>0</v>
      </c>
      <c r="CW84" s="150">
        <f t="shared" si="349"/>
        <v>570</v>
      </c>
      <c r="CX84" s="150">
        <f t="shared" si="366"/>
        <v>0</v>
      </c>
      <c r="CY84" s="150"/>
      <c r="CZ84" s="150"/>
      <c r="DA84" s="150">
        <f t="shared" si="350"/>
        <v>1327</v>
      </c>
      <c r="DB84" s="150">
        <f t="shared" si="351"/>
        <v>0</v>
      </c>
      <c r="DC84" s="150">
        <v>1327</v>
      </c>
      <c r="DD84" s="150">
        <v>0</v>
      </c>
      <c r="DE84" s="150">
        <f t="shared" si="352"/>
        <v>0</v>
      </c>
      <c r="DF84" s="150">
        <f t="shared" si="353"/>
        <v>0</v>
      </c>
      <c r="DG84" s="150">
        <f>ROUND(0.25*(MIN(CU84,DO84)),2)</f>
        <v>570</v>
      </c>
      <c r="DH84" s="150">
        <f>ROUND(0.25*(MIN(CV84,DP84)),2)</f>
        <v>0</v>
      </c>
      <c r="DI84" s="150">
        <f t="shared" si="354"/>
        <v>570</v>
      </c>
      <c r="DJ84" s="150">
        <f>+DH84-DF84</f>
        <v>0</v>
      </c>
      <c r="DK84" s="104">
        <f t="shared" si="165"/>
        <v>992.32000000000016</v>
      </c>
      <c r="DL84" s="104">
        <f t="shared" si="166"/>
        <v>0</v>
      </c>
      <c r="DM84" s="104">
        <f t="shared" si="333"/>
        <v>383</v>
      </c>
      <c r="DN84" s="104">
        <f t="shared" si="334"/>
        <v>0</v>
      </c>
      <c r="DO84" s="104">
        <f>146.44+2742.88</f>
        <v>2889.32</v>
      </c>
      <c r="DP84" s="104">
        <v>0</v>
      </c>
      <c r="DQ84" s="178">
        <f>160+3004.86</f>
        <v>3164.86</v>
      </c>
      <c r="DR84" s="104">
        <v>0</v>
      </c>
    </row>
    <row r="85" spans="1:128" ht="18.75">
      <c r="A85" s="18"/>
      <c r="B85" s="18" t="s">
        <v>121</v>
      </c>
      <c r="C85" s="19" t="s">
        <v>45</v>
      </c>
      <c r="D85" s="20" t="s">
        <v>120</v>
      </c>
      <c r="E85" s="21" t="s">
        <v>122</v>
      </c>
      <c r="F85" s="22">
        <v>2222.29</v>
      </c>
      <c r="G85" s="22">
        <v>0.12</v>
      </c>
      <c r="H85" s="22">
        <v>2222.29</v>
      </c>
      <c r="I85" s="22">
        <v>0.12</v>
      </c>
      <c r="J85" s="22" t="e">
        <f>+J83+J84+#REF!</f>
        <v>#REF!</v>
      </c>
      <c r="K85" s="22" t="e">
        <f>+K83+K84+#REF!</f>
        <v>#REF!</v>
      </c>
      <c r="L85" s="22" t="e">
        <f>+L83+L84+#REF!</f>
        <v>#REF!</v>
      </c>
      <c r="M85" s="22" t="e">
        <f>+M83+M84+#REF!</f>
        <v>#REF!</v>
      </c>
      <c r="N85" s="22" t="e">
        <f>+N83+N84+#REF!</f>
        <v>#REF!</v>
      </c>
      <c r="O85" s="22" t="e">
        <f>+O83+O84+#REF!</f>
        <v>#REF!</v>
      </c>
      <c r="P85" s="22" t="e">
        <f>+P83+P84+#REF!</f>
        <v>#REF!</v>
      </c>
      <c r="Q85" s="22" t="e">
        <f>+Q83+Q84+#REF!</f>
        <v>#REF!</v>
      </c>
      <c r="R85" s="88" t="e">
        <f>+Q85+M85</f>
        <v>#REF!</v>
      </c>
      <c r="S85" s="22" t="e">
        <f>+S83+S84+#REF!</f>
        <v>#REF!</v>
      </c>
      <c r="T85" s="22" t="e">
        <f>+T83+T84+#REF!</f>
        <v>#REF!</v>
      </c>
      <c r="U85" s="22" t="e">
        <f>+U83+U84+#REF!</f>
        <v>#REF!</v>
      </c>
      <c r="V85" s="22" t="e">
        <f>+V83+V84+#REF!</f>
        <v>#REF!</v>
      </c>
      <c r="W85" s="22" t="e">
        <f>+W83+W84+#REF!</f>
        <v>#REF!</v>
      </c>
      <c r="X85" s="22" t="e">
        <f>+X83+X84+#REF!</f>
        <v>#REF!</v>
      </c>
      <c r="Y85" s="22" t="e">
        <f>+Y83+Y84+#REF!</f>
        <v>#REF!</v>
      </c>
      <c r="Z85" s="22" t="e">
        <f>+Z83+Z84+#REF!</f>
        <v>#REF!</v>
      </c>
      <c r="AA85" s="22" t="e">
        <f>+AA83+AA84+#REF!</f>
        <v>#REF!</v>
      </c>
      <c r="AB85" s="22" t="e">
        <f t="shared" si="312"/>
        <v>#REF!</v>
      </c>
      <c r="AC85" s="109" t="e">
        <f t="shared" si="313"/>
        <v>#REF!</v>
      </c>
      <c r="AD85" s="22">
        <f t="shared" ref="AD85" si="438">+AD83+AD84</f>
        <v>2351.85</v>
      </c>
      <c r="AE85" s="22">
        <f t="shared" ref="AE85" si="439">+AE83+AE84</f>
        <v>0</v>
      </c>
      <c r="AF85" s="22">
        <f t="shared" ref="AF85" si="440">+AF83+AF84</f>
        <v>0</v>
      </c>
      <c r="AG85" s="22">
        <f t="shared" ref="AG85" si="441">+AG83+AG84</f>
        <v>588</v>
      </c>
      <c r="AH85" s="22">
        <f t="shared" ref="AH85" si="442">+AH83+AH84</f>
        <v>0</v>
      </c>
      <c r="AI85" s="22">
        <f t="shared" ref="AI85" si="443">+AI83+AI84</f>
        <v>196</v>
      </c>
      <c r="AJ85" s="22">
        <f t="shared" ref="AJ85" si="444">+AJ83+AJ84</f>
        <v>0</v>
      </c>
      <c r="AK85" s="22">
        <f t="shared" ref="AK85" si="445">+AK83+AK84</f>
        <v>25</v>
      </c>
      <c r="AL85" s="22">
        <f t="shared" ref="AL85" si="446">+AL83+AL84</f>
        <v>0</v>
      </c>
      <c r="AM85" s="22">
        <f t="shared" ref="AM85" si="447">+AM83+AM84</f>
        <v>587.96</v>
      </c>
      <c r="AN85" s="22">
        <f t="shared" ref="AN85" si="448">+AN83+AN84</f>
        <v>0</v>
      </c>
      <c r="AO85" s="22">
        <f t="shared" ref="AO85" si="449">+AO83+AO84</f>
        <v>0</v>
      </c>
      <c r="AP85" s="22">
        <f t="shared" ref="AP85" si="450">+AP83+AP84</f>
        <v>0</v>
      </c>
      <c r="AQ85" s="22">
        <f t="shared" ref="AQ85" si="451">+AQ83+AQ84</f>
        <v>1200.96</v>
      </c>
      <c r="AR85" s="22">
        <f t="shared" ref="AR85" si="452">+AR83+AR84</f>
        <v>0</v>
      </c>
      <c r="AS85" s="22">
        <f t="shared" ref="AS85" si="453">+AS83+AS84</f>
        <v>10</v>
      </c>
      <c r="AT85" s="22">
        <f t="shared" ref="AT85" si="454">+AT83+AT84</f>
        <v>0</v>
      </c>
      <c r="AU85" s="22">
        <f t="shared" ref="AU85" si="455">+AU83+AU84</f>
        <v>587.96</v>
      </c>
      <c r="AV85" s="22">
        <f t="shared" ref="AV85" si="456">+AV83+AV84</f>
        <v>0</v>
      </c>
      <c r="AW85" s="22">
        <f t="shared" ref="AW85" si="457">+AW83+AW84</f>
        <v>25</v>
      </c>
      <c r="AX85" s="22">
        <f t="shared" ref="AX85" si="458">+AX83+AX84</f>
        <v>0</v>
      </c>
      <c r="AY85" s="22">
        <f t="shared" ref="AY85" si="459">+AY83+AY84</f>
        <v>2019.9199999999998</v>
      </c>
      <c r="AZ85" s="22">
        <f t="shared" ref="AZ85" si="460">+AZ83+AZ84</f>
        <v>0</v>
      </c>
      <c r="BA85" s="22">
        <f t="shared" ref="BA85" si="461">+BA83+BA84</f>
        <v>2019.9199999999998</v>
      </c>
      <c r="BB85" s="22">
        <f t="shared" ref="BB85" si="462">+BB83+BB84</f>
        <v>2015.51</v>
      </c>
      <c r="BC85" s="22">
        <f t="shared" ref="BC85" si="463">+BC83+BC84</f>
        <v>0</v>
      </c>
      <c r="BD85" s="22">
        <f t="shared" ref="BD85" si="464">+BD83+BD84</f>
        <v>4.410000000000025</v>
      </c>
      <c r="BE85" s="22">
        <f t="shared" ref="BE85" si="465">+BE83+BE84</f>
        <v>0</v>
      </c>
      <c r="BF85" s="22">
        <f t="shared" ref="BF85" si="466">+BF83+BF84</f>
        <v>403.11</v>
      </c>
      <c r="BG85" s="118">
        <f t="shared" ref="BG85:DH85" si="467">+BG83+BG84</f>
        <v>0</v>
      </c>
      <c r="BH85" s="118">
        <f t="shared" si="467"/>
        <v>204.35</v>
      </c>
      <c r="BI85" s="118">
        <f t="shared" si="467"/>
        <v>0</v>
      </c>
      <c r="BJ85" s="118">
        <f t="shared" si="467"/>
        <v>0</v>
      </c>
      <c r="BK85" s="118">
        <f t="shared" si="467"/>
        <v>0</v>
      </c>
      <c r="BL85" s="118">
        <f t="shared" si="467"/>
        <v>2224.2699999999995</v>
      </c>
      <c r="BM85" s="118">
        <f t="shared" si="467"/>
        <v>0</v>
      </c>
      <c r="BN85" s="118">
        <f t="shared" si="467"/>
        <v>2224.2699999999995</v>
      </c>
      <c r="BO85" s="118">
        <f t="shared" si="467"/>
        <v>2051.77</v>
      </c>
      <c r="BP85" s="118">
        <f t="shared" si="467"/>
        <v>0</v>
      </c>
      <c r="BQ85" s="22">
        <f t="shared" si="467"/>
        <v>172.49999999999972</v>
      </c>
      <c r="BR85" s="22">
        <f t="shared" si="467"/>
        <v>0</v>
      </c>
      <c r="BS85" s="22">
        <f t="shared" si="467"/>
        <v>186.53</v>
      </c>
      <c r="BT85" s="22">
        <f t="shared" si="467"/>
        <v>0</v>
      </c>
      <c r="BU85" s="22">
        <f t="shared" si="467"/>
        <v>14.03</v>
      </c>
      <c r="BV85" s="22">
        <f t="shared" si="467"/>
        <v>0</v>
      </c>
      <c r="BW85" s="22">
        <f t="shared" si="467"/>
        <v>251.42999999999998</v>
      </c>
      <c r="BX85" s="22">
        <f t="shared" si="467"/>
        <v>0</v>
      </c>
      <c r="BY85" s="22">
        <f t="shared" si="467"/>
        <v>0</v>
      </c>
      <c r="BZ85" s="22">
        <f t="shared" si="467"/>
        <v>0</v>
      </c>
      <c r="CA85" s="22">
        <f t="shared" si="467"/>
        <v>2489.7299999999996</v>
      </c>
      <c r="CB85" s="22">
        <f t="shared" si="467"/>
        <v>0</v>
      </c>
      <c r="CC85" s="22">
        <f t="shared" si="467"/>
        <v>2738.7</v>
      </c>
      <c r="CD85" s="118">
        <f t="shared" si="467"/>
        <v>0</v>
      </c>
      <c r="CE85" s="190">
        <f t="shared" si="467"/>
        <v>229</v>
      </c>
      <c r="CF85" s="190">
        <f t="shared" si="467"/>
        <v>0</v>
      </c>
      <c r="CG85" s="190">
        <f t="shared" si="467"/>
        <v>622.43000000000006</v>
      </c>
      <c r="CH85" s="190">
        <f t="shared" si="467"/>
        <v>0</v>
      </c>
      <c r="CI85" s="190">
        <f t="shared" si="467"/>
        <v>0</v>
      </c>
      <c r="CJ85" s="190">
        <f t="shared" si="467"/>
        <v>0</v>
      </c>
      <c r="CK85" s="190">
        <f t="shared" si="467"/>
        <v>690</v>
      </c>
      <c r="CL85" s="190">
        <f t="shared" si="467"/>
        <v>0</v>
      </c>
      <c r="CM85" s="190">
        <f t="shared" si="467"/>
        <v>0</v>
      </c>
      <c r="CN85" s="190">
        <f t="shared" si="467"/>
        <v>0</v>
      </c>
      <c r="CO85" s="190">
        <f t="shared" si="467"/>
        <v>3390</v>
      </c>
      <c r="CP85" s="190">
        <f t="shared" si="467"/>
        <v>0</v>
      </c>
      <c r="CQ85" s="190">
        <f t="shared" si="467"/>
        <v>2760</v>
      </c>
      <c r="CR85" s="190">
        <f t="shared" si="467"/>
        <v>0</v>
      </c>
      <c r="CS85" s="190">
        <f t="shared" si="467"/>
        <v>2760</v>
      </c>
      <c r="CT85" s="190">
        <f t="shared" si="467"/>
        <v>0</v>
      </c>
      <c r="CU85" s="190">
        <f t="shared" si="467"/>
        <v>2760</v>
      </c>
      <c r="CV85" s="190">
        <f t="shared" si="467"/>
        <v>0</v>
      </c>
      <c r="CW85" s="190">
        <f t="shared" si="467"/>
        <v>690</v>
      </c>
      <c r="CX85" s="190">
        <f t="shared" si="467"/>
        <v>0</v>
      </c>
      <c r="CY85" s="190">
        <f t="shared" si="467"/>
        <v>25</v>
      </c>
      <c r="CZ85" s="190">
        <f t="shared" si="467"/>
        <v>0</v>
      </c>
      <c r="DA85" s="190">
        <f t="shared" si="467"/>
        <v>1634</v>
      </c>
      <c r="DB85" s="190">
        <f t="shared" si="467"/>
        <v>0</v>
      </c>
      <c r="DC85" s="190">
        <f t="shared" si="467"/>
        <v>1627.5</v>
      </c>
      <c r="DD85" s="190">
        <f t="shared" si="467"/>
        <v>0</v>
      </c>
      <c r="DE85" s="190">
        <f t="shared" si="467"/>
        <v>6.5</v>
      </c>
      <c r="DF85" s="190">
        <f t="shared" si="467"/>
        <v>0</v>
      </c>
      <c r="DG85" s="190">
        <f t="shared" si="467"/>
        <v>690</v>
      </c>
      <c r="DH85" s="190">
        <f t="shared" si="467"/>
        <v>0</v>
      </c>
      <c r="DI85" s="190">
        <f t="shared" ref="DI85:DO85" si="468">+DI83+DI84</f>
        <v>683.5</v>
      </c>
      <c r="DJ85" s="190">
        <f t="shared" si="468"/>
        <v>0</v>
      </c>
      <c r="DK85" s="104">
        <f t="shared" si="165"/>
        <v>1091.8200000000002</v>
      </c>
      <c r="DL85" s="104">
        <f t="shared" si="166"/>
        <v>0</v>
      </c>
      <c r="DM85" s="104">
        <f t="shared" si="333"/>
        <v>442.5</v>
      </c>
      <c r="DN85" s="104">
        <f t="shared" si="334"/>
        <v>0</v>
      </c>
      <c r="DO85" s="22">
        <f t="shared" si="468"/>
        <v>3409.32</v>
      </c>
      <c r="DP85" s="22">
        <f t="shared" ref="DP85" si="469">+DP83+DP84</f>
        <v>0</v>
      </c>
      <c r="DQ85" s="22">
        <f t="shared" ref="DQ85:DX85" si="470">+DQ83+DQ84</f>
        <v>3714.86</v>
      </c>
      <c r="DR85" s="22">
        <f t="shared" si="470"/>
        <v>0</v>
      </c>
      <c r="DS85" s="22">
        <f t="shared" si="470"/>
        <v>0</v>
      </c>
      <c r="DT85" s="22">
        <f t="shared" si="470"/>
        <v>0</v>
      </c>
      <c r="DU85" s="22">
        <f t="shared" si="470"/>
        <v>0</v>
      </c>
      <c r="DV85" s="22">
        <f t="shared" si="470"/>
        <v>0</v>
      </c>
      <c r="DW85" s="22">
        <f t="shared" si="470"/>
        <v>0</v>
      </c>
      <c r="DX85" s="22">
        <f t="shared" si="470"/>
        <v>0</v>
      </c>
    </row>
    <row r="86" spans="1:128" ht="18.75">
      <c r="A86" s="18">
        <v>65</v>
      </c>
      <c r="B86" s="18" t="s">
        <v>123</v>
      </c>
      <c r="C86" s="19" t="s">
        <v>124</v>
      </c>
      <c r="D86" s="20" t="s">
        <v>125</v>
      </c>
      <c r="E86" s="21" t="s">
        <v>126</v>
      </c>
      <c r="F86" s="81">
        <v>525.37999999999988</v>
      </c>
      <c r="G86" s="81">
        <v>0</v>
      </c>
      <c r="H86" s="81">
        <v>525.37999999999988</v>
      </c>
      <c r="I86" s="22">
        <v>0</v>
      </c>
      <c r="J86" s="88">
        <v>553</v>
      </c>
      <c r="K86" s="88">
        <v>0</v>
      </c>
      <c r="L86" s="88">
        <v>0</v>
      </c>
      <c r="M86" s="88">
        <f>J86+K86+L86</f>
        <v>553</v>
      </c>
      <c r="N86" s="88">
        <v>0</v>
      </c>
      <c r="O86" s="88">
        <v>0</v>
      </c>
      <c r="P86" s="88">
        <v>0</v>
      </c>
      <c r="Q86" s="88">
        <f>N86+O86+P86</f>
        <v>0</v>
      </c>
      <c r="R86" s="88">
        <f>+Q86+M86</f>
        <v>553</v>
      </c>
      <c r="S86" s="88">
        <v>0</v>
      </c>
      <c r="V86" s="22">
        <f t="shared" ref="V86" si="471">ROUND(H86*1.0583,2)</f>
        <v>556.01</v>
      </c>
      <c r="W86" s="22">
        <f t="shared" ref="W86" si="472">ROUND(I86*1.0327,2)</f>
        <v>0</v>
      </c>
      <c r="X86" s="22">
        <f t="shared" si="310"/>
        <v>-3.0099999999999909</v>
      </c>
      <c r="Y86" s="22">
        <f t="shared" si="311"/>
        <v>0</v>
      </c>
      <c r="Z86" s="22">
        <v>553</v>
      </c>
      <c r="AA86" s="22"/>
      <c r="AB86" s="22">
        <f t="shared" si="312"/>
        <v>553</v>
      </c>
      <c r="AC86" s="109">
        <f t="shared" si="313"/>
        <v>0</v>
      </c>
      <c r="AD86" s="22">
        <f t="shared" ref="AD86" si="473">IF(X86&gt;0,V86,R86)</f>
        <v>553</v>
      </c>
      <c r="AE86" s="22">
        <f t="shared" ref="AE86" si="474">IF(Y86&gt;0,W86,S86)</f>
        <v>0</v>
      </c>
      <c r="AF86" s="22">
        <f t="shared" si="314"/>
        <v>0</v>
      </c>
      <c r="AG86" s="108">
        <f t="shared" si="315"/>
        <v>138</v>
      </c>
      <c r="AH86" s="108">
        <f t="shared" si="316"/>
        <v>0</v>
      </c>
      <c r="AI86" s="127">
        <f t="shared" si="317"/>
        <v>46</v>
      </c>
      <c r="AJ86" s="108">
        <f t="shared" si="318"/>
        <v>0</v>
      </c>
      <c r="AM86" s="108">
        <f t="shared" si="319"/>
        <v>138.25</v>
      </c>
      <c r="AN86" s="108">
        <f t="shared" si="320"/>
        <v>0</v>
      </c>
      <c r="AQ86" s="116">
        <f t="shared" si="321"/>
        <v>276.25</v>
      </c>
      <c r="AR86" s="116">
        <f t="shared" si="322"/>
        <v>0</v>
      </c>
      <c r="AS86" s="116"/>
      <c r="AT86" s="116"/>
      <c r="AU86" s="116">
        <f t="shared" si="302"/>
        <v>138.25</v>
      </c>
      <c r="AV86" s="116">
        <f t="shared" si="184"/>
        <v>0</v>
      </c>
      <c r="AW86" s="143">
        <v>35</v>
      </c>
      <c r="AX86" s="116"/>
      <c r="AY86" s="108">
        <f t="shared" si="303"/>
        <v>495.5</v>
      </c>
      <c r="AZ86" s="108">
        <f t="shared" si="304"/>
        <v>0</v>
      </c>
      <c r="BA86" s="108">
        <f t="shared" si="305"/>
        <v>495.5</v>
      </c>
      <c r="BB86" s="139">
        <v>497.87</v>
      </c>
      <c r="BD86" s="139">
        <f t="shared" si="306"/>
        <v>-2.3700000000000045</v>
      </c>
      <c r="BE86" s="139">
        <f t="shared" si="307"/>
        <v>0</v>
      </c>
      <c r="BF86" s="139">
        <f t="shared" si="308"/>
        <v>99.57</v>
      </c>
      <c r="BG86" s="139">
        <f t="shared" si="309"/>
        <v>0</v>
      </c>
      <c r="BH86" s="108">
        <v>37.85</v>
      </c>
      <c r="BI86" s="108">
        <v>0</v>
      </c>
      <c r="BL86" s="108">
        <f t="shared" si="332"/>
        <v>533.35</v>
      </c>
      <c r="BM86" s="108">
        <f t="shared" si="335"/>
        <v>0</v>
      </c>
      <c r="BN86" s="108">
        <f t="shared" si="336"/>
        <v>533.35</v>
      </c>
      <c r="BO86" s="108">
        <v>546.41999999999996</v>
      </c>
      <c r="BP86" s="127"/>
      <c r="BQ86" s="108">
        <f t="shared" si="337"/>
        <v>-13.069999999999936</v>
      </c>
      <c r="BR86" s="108">
        <f t="shared" si="338"/>
        <v>0</v>
      </c>
      <c r="BS86" s="108">
        <f t="shared" si="339"/>
        <v>49.67</v>
      </c>
      <c r="BT86" s="108">
        <f t="shared" si="340"/>
        <v>0</v>
      </c>
      <c r="BU86" s="108">
        <v>62.74</v>
      </c>
      <c r="BV86" s="108">
        <f t="shared" si="411"/>
        <v>0</v>
      </c>
      <c r="BW86" s="108">
        <v>20.5</v>
      </c>
      <c r="CA86" s="108">
        <v>616.59</v>
      </c>
      <c r="CB86" s="108">
        <v>0</v>
      </c>
      <c r="CC86">
        <v>678.25</v>
      </c>
      <c r="CD86">
        <v>0</v>
      </c>
      <c r="CE86" s="189">
        <v>57</v>
      </c>
      <c r="CF86" s="189">
        <v>0</v>
      </c>
      <c r="CG86" s="189">
        <f t="shared" si="341"/>
        <v>154.15</v>
      </c>
      <c r="CH86" s="189">
        <f t="shared" si="342"/>
        <v>0</v>
      </c>
      <c r="CI86" s="150"/>
      <c r="CJ86" s="150"/>
      <c r="CK86" s="150">
        <v>161</v>
      </c>
      <c r="CL86" s="150">
        <v>0</v>
      </c>
      <c r="CM86" s="150"/>
      <c r="CN86" s="150"/>
      <c r="CO86" s="150">
        <v>608</v>
      </c>
      <c r="CP86" s="150"/>
      <c r="CQ86" s="150">
        <f t="shared" si="343"/>
        <v>644</v>
      </c>
      <c r="CR86" s="150">
        <f t="shared" si="344"/>
        <v>0</v>
      </c>
      <c r="CS86" s="150">
        <f t="shared" si="345"/>
        <v>608</v>
      </c>
      <c r="CT86" s="150">
        <f t="shared" si="346"/>
        <v>0</v>
      </c>
      <c r="CU86" s="150">
        <f t="shared" ref="CU86" si="475">IF(CQ86&lt;CS86,CQ86,CS86)</f>
        <v>608</v>
      </c>
      <c r="CV86" s="150">
        <f t="shared" ref="CV86" si="476">IF(CR86&lt;CT86,CR86,CT86)</f>
        <v>0</v>
      </c>
      <c r="CW86" s="150">
        <f t="shared" si="349"/>
        <v>152</v>
      </c>
      <c r="CX86" s="150">
        <f t="shared" si="366"/>
        <v>0</v>
      </c>
      <c r="CY86" s="150">
        <v>15</v>
      </c>
      <c r="CZ86" s="150"/>
      <c r="DA86" s="150">
        <f t="shared" si="350"/>
        <v>385</v>
      </c>
      <c r="DB86" s="150">
        <f t="shared" si="351"/>
        <v>0</v>
      </c>
      <c r="DC86" s="150">
        <v>380.35</v>
      </c>
      <c r="DD86" s="150">
        <v>0</v>
      </c>
      <c r="DE86" s="150">
        <f t="shared" si="352"/>
        <v>4.6499999999999773</v>
      </c>
      <c r="DF86" s="150">
        <f t="shared" si="353"/>
        <v>0</v>
      </c>
      <c r="DG86" s="150">
        <f t="shared" ref="DG86:DH88" si="477">ROUND(0.25*(MIN(CU86,DO86)),2)</f>
        <v>152</v>
      </c>
      <c r="DH86" s="150">
        <f t="shared" si="477"/>
        <v>0</v>
      </c>
      <c r="DI86" s="150">
        <f t="shared" si="354"/>
        <v>147.35000000000002</v>
      </c>
      <c r="DJ86" s="150">
        <f>+DH86-DF86</f>
        <v>0</v>
      </c>
      <c r="DK86" s="104">
        <f t="shared" si="165"/>
        <v>151.64999999999998</v>
      </c>
      <c r="DL86" s="104">
        <f t="shared" si="166"/>
        <v>0</v>
      </c>
      <c r="DM86" s="104">
        <f t="shared" si="333"/>
        <v>75.649999999999977</v>
      </c>
      <c r="DN86" s="104">
        <f t="shared" si="334"/>
        <v>0</v>
      </c>
      <c r="DO86" s="104">
        <v>684</v>
      </c>
      <c r="DQ86" s="104">
        <v>750</v>
      </c>
    </row>
    <row r="87" spans="1:128" ht="37.5">
      <c r="A87" s="18">
        <v>66</v>
      </c>
      <c r="B87" s="18" t="s">
        <v>127</v>
      </c>
      <c r="C87" s="19" t="s">
        <v>128</v>
      </c>
      <c r="D87" s="20" t="s">
        <v>129</v>
      </c>
      <c r="E87" s="21" t="s">
        <v>130</v>
      </c>
      <c r="F87" s="81">
        <v>365.35</v>
      </c>
      <c r="G87" s="81">
        <v>0</v>
      </c>
      <c r="H87" s="81">
        <v>365.35</v>
      </c>
      <c r="I87" s="22">
        <v>0</v>
      </c>
      <c r="J87" s="88">
        <v>500</v>
      </c>
      <c r="K87" s="88">
        <v>0</v>
      </c>
      <c r="L87" s="88">
        <v>0</v>
      </c>
      <c r="M87" s="88">
        <f t="shared" ref="M87:M112" si="478">J87+K87+L87</f>
        <v>500</v>
      </c>
      <c r="N87" s="88">
        <v>0</v>
      </c>
      <c r="O87" s="88">
        <v>0</v>
      </c>
      <c r="P87" s="88">
        <v>0</v>
      </c>
      <c r="Q87" s="88">
        <f t="shared" ref="Q87:Q92" si="479">N87+O87+P87</f>
        <v>0</v>
      </c>
      <c r="R87" s="88">
        <f>+Q87+M87</f>
        <v>500</v>
      </c>
      <c r="S87" s="88">
        <v>0</v>
      </c>
      <c r="V87" s="22">
        <f t="shared" ref="V87:V88" si="480">ROUND(H87*1.0583,2)</f>
        <v>386.65</v>
      </c>
      <c r="W87" s="22">
        <f t="shared" ref="W87:W88" si="481">ROUND(I87*1.0327,2)</f>
        <v>0</v>
      </c>
      <c r="X87" s="22">
        <f t="shared" si="310"/>
        <v>113.35000000000002</v>
      </c>
      <c r="Y87" s="22">
        <f t="shared" si="311"/>
        <v>0</v>
      </c>
      <c r="Z87" s="22">
        <v>386.65</v>
      </c>
      <c r="AA87" s="22"/>
      <c r="AB87" s="22">
        <f t="shared" si="312"/>
        <v>386.65</v>
      </c>
      <c r="AC87" s="109">
        <f t="shared" si="313"/>
        <v>0</v>
      </c>
      <c r="AD87" s="22">
        <f t="shared" ref="AD87" si="482">IF(X87&gt;0,V87,R87)</f>
        <v>386.65</v>
      </c>
      <c r="AE87" s="22">
        <f t="shared" ref="AE87" si="483">IF(Y87&gt;0,W87,S87)</f>
        <v>0</v>
      </c>
      <c r="AF87" s="22">
        <f t="shared" si="314"/>
        <v>0</v>
      </c>
      <c r="AG87" s="108">
        <f t="shared" si="315"/>
        <v>97</v>
      </c>
      <c r="AH87" s="108">
        <f t="shared" si="316"/>
        <v>0</v>
      </c>
      <c r="AI87" s="127">
        <f t="shared" si="317"/>
        <v>32</v>
      </c>
      <c r="AJ87" s="108">
        <f t="shared" si="318"/>
        <v>0</v>
      </c>
      <c r="AK87" s="143">
        <v>7</v>
      </c>
      <c r="AM87" s="108">
        <f t="shared" si="319"/>
        <v>96.66</v>
      </c>
      <c r="AN87" s="108">
        <f t="shared" si="320"/>
        <v>0</v>
      </c>
      <c r="AQ87" s="116">
        <f t="shared" si="321"/>
        <v>200.66</v>
      </c>
      <c r="AR87" s="116">
        <f t="shared" si="322"/>
        <v>0</v>
      </c>
      <c r="AS87" s="116">
        <v>15</v>
      </c>
      <c r="AT87" s="116"/>
      <c r="AU87" s="116">
        <f t="shared" si="302"/>
        <v>96.66</v>
      </c>
      <c r="AV87" s="116">
        <f t="shared" si="184"/>
        <v>0</v>
      </c>
      <c r="AW87" s="143">
        <v>42</v>
      </c>
      <c r="AX87" s="143">
        <v>10</v>
      </c>
      <c r="AY87" s="108">
        <f t="shared" si="303"/>
        <v>386.32</v>
      </c>
      <c r="AZ87" s="108">
        <f t="shared" si="304"/>
        <v>10</v>
      </c>
      <c r="BA87" s="108">
        <f t="shared" si="305"/>
        <v>396.32</v>
      </c>
      <c r="BB87" s="139">
        <v>389.81</v>
      </c>
      <c r="BD87" s="139">
        <f t="shared" si="306"/>
        <v>-3.4900000000000091</v>
      </c>
      <c r="BE87" s="139">
        <f t="shared" si="307"/>
        <v>10</v>
      </c>
      <c r="BF87" s="139">
        <f t="shared" si="308"/>
        <v>77.959999999999994</v>
      </c>
      <c r="BG87" s="139">
        <f t="shared" si="309"/>
        <v>0</v>
      </c>
      <c r="BH87" s="108">
        <v>40.729999999999997</v>
      </c>
      <c r="BI87" s="108">
        <v>0</v>
      </c>
      <c r="BL87" s="108">
        <f t="shared" si="332"/>
        <v>427.05</v>
      </c>
      <c r="BM87" s="108">
        <f t="shared" si="335"/>
        <v>10</v>
      </c>
      <c r="BN87" s="108">
        <f t="shared" si="336"/>
        <v>437.05</v>
      </c>
      <c r="BO87" s="108">
        <v>425.81</v>
      </c>
      <c r="BP87" s="127"/>
      <c r="BQ87" s="108">
        <f t="shared" si="337"/>
        <v>1.2400000000000091</v>
      </c>
      <c r="BR87" s="108">
        <f t="shared" si="338"/>
        <v>10</v>
      </c>
      <c r="BS87" s="108">
        <f t="shared" si="339"/>
        <v>38.71</v>
      </c>
      <c r="BT87" s="108">
        <f t="shared" si="340"/>
        <v>0</v>
      </c>
      <c r="BU87" s="143">
        <v>23</v>
      </c>
      <c r="BV87" s="108">
        <v>0</v>
      </c>
      <c r="CA87" s="108">
        <v>450.05</v>
      </c>
      <c r="CB87" s="108">
        <v>10</v>
      </c>
      <c r="CC87">
        <v>495.06</v>
      </c>
      <c r="CD87">
        <v>11.5</v>
      </c>
      <c r="CE87" s="189">
        <v>41</v>
      </c>
      <c r="CF87" s="189">
        <v>0</v>
      </c>
      <c r="CG87" s="189">
        <f t="shared" si="341"/>
        <v>112.51</v>
      </c>
      <c r="CH87" s="189">
        <f t="shared" si="342"/>
        <v>2.5</v>
      </c>
      <c r="CI87" s="150"/>
      <c r="CJ87" s="150"/>
      <c r="CK87" s="150">
        <v>116</v>
      </c>
      <c r="CL87" s="150">
        <v>0</v>
      </c>
      <c r="CM87" s="150"/>
      <c r="CN87" s="150"/>
      <c r="CO87" s="150"/>
      <c r="CP87" s="150"/>
      <c r="CQ87" s="150">
        <f t="shared" si="343"/>
        <v>464</v>
      </c>
      <c r="CR87" s="150">
        <f t="shared" si="344"/>
        <v>0</v>
      </c>
      <c r="CS87" s="150">
        <v>450</v>
      </c>
      <c r="CT87" s="150">
        <f t="shared" si="346"/>
        <v>0</v>
      </c>
      <c r="CU87" s="150">
        <v>530</v>
      </c>
      <c r="CV87" s="150">
        <v>83.62</v>
      </c>
      <c r="CW87" s="150">
        <f t="shared" si="349"/>
        <v>132.5</v>
      </c>
      <c r="CX87" s="150">
        <f t="shared" si="366"/>
        <v>20.91</v>
      </c>
      <c r="CY87" s="150"/>
      <c r="CZ87" s="150"/>
      <c r="DA87" s="150">
        <f t="shared" si="350"/>
        <v>289.5</v>
      </c>
      <c r="DB87" s="150">
        <f t="shared" si="351"/>
        <v>20.91</v>
      </c>
      <c r="DC87" s="150">
        <v>256.07</v>
      </c>
      <c r="DD87" s="150">
        <v>0</v>
      </c>
      <c r="DE87" s="150">
        <f t="shared" si="352"/>
        <v>33.430000000000007</v>
      </c>
      <c r="DF87" s="150">
        <f t="shared" si="353"/>
        <v>20.91</v>
      </c>
      <c r="DG87" s="150">
        <f t="shared" si="477"/>
        <v>105.84</v>
      </c>
      <c r="DH87" s="150">
        <f t="shared" si="477"/>
        <v>20.91</v>
      </c>
      <c r="DI87" s="150">
        <f t="shared" si="354"/>
        <v>72.41</v>
      </c>
      <c r="DJ87" s="150">
        <f>+DH87-DF87</f>
        <v>0</v>
      </c>
      <c r="DK87" s="104">
        <f t="shared" si="165"/>
        <v>61.450000000000017</v>
      </c>
      <c r="DL87" s="104">
        <f t="shared" si="166"/>
        <v>62.710000000000008</v>
      </c>
      <c r="DM87" s="104">
        <f t="shared" si="333"/>
        <v>168.09</v>
      </c>
      <c r="DN87" s="104">
        <f t="shared" si="334"/>
        <v>62.710000000000008</v>
      </c>
      <c r="DO87" s="104">
        <v>423.36</v>
      </c>
      <c r="DP87" s="104">
        <v>83.62</v>
      </c>
      <c r="DQ87" s="104">
        <v>470</v>
      </c>
    </row>
    <row r="88" spans="1:128" ht="37.5">
      <c r="A88" s="18"/>
      <c r="B88" s="18" t="s">
        <v>131</v>
      </c>
      <c r="C88" s="19" t="s">
        <v>85</v>
      </c>
      <c r="D88" s="145" t="s">
        <v>563</v>
      </c>
      <c r="E88" s="21" t="s">
        <v>132</v>
      </c>
      <c r="F88" s="81">
        <v>335.28</v>
      </c>
      <c r="G88" s="81">
        <v>0</v>
      </c>
      <c r="H88" s="81">
        <v>361</v>
      </c>
      <c r="I88" s="22">
        <v>0</v>
      </c>
      <c r="J88" s="88">
        <v>339</v>
      </c>
      <c r="K88" s="88">
        <v>0</v>
      </c>
      <c r="L88" s="88">
        <v>0</v>
      </c>
      <c r="M88" s="88">
        <f t="shared" si="478"/>
        <v>339</v>
      </c>
      <c r="N88" s="88">
        <v>96</v>
      </c>
      <c r="O88" s="88">
        <v>0</v>
      </c>
      <c r="P88" s="88">
        <v>0</v>
      </c>
      <c r="Q88" s="88">
        <f t="shared" si="479"/>
        <v>96</v>
      </c>
      <c r="R88" s="88">
        <f>+Q88+M88</f>
        <v>435</v>
      </c>
      <c r="S88" s="88"/>
      <c r="V88" s="22">
        <f t="shared" si="480"/>
        <v>382.05</v>
      </c>
      <c r="W88" s="22">
        <f t="shared" si="481"/>
        <v>0</v>
      </c>
      <c r="X88" s="22">
        <f t="shared" si="310"/>
        <v>52.949999999999989</v>
      </c>
      <c r="Y88" s="22">
        <f t="shared" si="311"/>
        <v>0</v>
      </c>
      <c r="Z88" s="22"/>
      <c r="AA88" s="22"/>
      <c r="AB88" s="22"/>
      <c r="AC88" s="109"/>
      <c r="AD88" s="22"/>
      <c r="AE88" s="22"/>
      <c r="AF88" s="22"/>
      <c r="AG88" s="108"/>
      <c r="AH88" s="108"/>
      <c r="AI88" s="127"/>
      <c r="AY88" s="108">
        <f t="shared" si="303"/>
        <v>0</v>
      </c>
      <c r="AZ88" s="108">
        <f t="shared" si="304"/>
        <v>0</v>
      </c>
      <c r="BA88" s="108">
        <f t="shared" si="305"/>
        <v>0</v>
      </c>
      <c r="BD88" s="139">
        <f t="shared" si="306"/>
        <v>0</v>
      </c>
      <c r="BE88" s="139">
        <f t="shared" si="307"/>
        <v>0</v>
      </c>
      <c r="BF88" s="139">
        <f t="shared" si="308"/>
        <v>0</v>
      </c>
      <c r="BG88" s="139">
        <f t="shared" si="309"/>
        <v>0</v>
      </c>
      <c r="BH88" s="108">
        <v>0</v>
      </c>
      <c r="BI88" s="108">
        <v>0</v>
      </c>
      <c r="BL88" s="108">
        <f t="shared" si="332"/>
        <v>0</v>
      </c>
      <c r="BM88" s="108">
        <f t="shared" si="335"/>
        <v>0</v>
      </c>
      <c r="BN88" s="108">
        <f t="shared" si="336"/>
        <v>0</v>
      </c>
      <c r="BO88" s="108">
        <f t="shared" ref="BO88" si="484">+BJ88+BA88+BL88</f>
        <v>0</v>
      </c>
      <c r="BP88" s="127">
        <f t="shared" ref="BP88" si="485">+BK88+BB88+BM88</f>
        <v>0</v>
      </c>
      <c r="BQ88" s="108">
        <f t="shared" si="337"/>
        <v>0</v>
      </c>
      <c r="BR88" s="108">
        <f t="shared" si="338"/>
        <v>0</v>
      </c>
      <c r="BS88" s="108">
        <f t="shared" si="339"/>
        <v>0</v>
      </c>
      <c r="BT88" s="108">
        <f t="shared" si="340"/>
        <v>0</v>
      </c>
      <c r="BU88" s="108">
        <f t="shared" si="364"/>
        <v>0</v>
      </c>
      <c r="BV88" s="108">
        <f t="shared" si="411"/>
        <v>0</v>
      </c>
      <c r="CA88" s="108">
        <v>0</v>
      </c>
      <c r="CB88" s="108">
        <v>0</v>
      </c>
      <c r="CC88">
        <v>0</v>
      </c>
      <c r="CD88">
        <v>0</v>
      </c>
      <c r="CE88" s="189">
        <v>0</v>
      </c>
      <c r="CF88" s="189">
        <v>0</v>
      </c>
      <c r="CG88" s="189">
        <f t="shared" si="341"/>
        <v>0</v>
      </c>
      <c r="CH88" s="189">
        <f t="shared" si="342"/>
        <v>0</v>
      </c>
      <c r="CI88" s="150"/>
      <c r="CJ88" s="150"/>
      <c r="CK88" s="150">
        <v>0</v>
      </c>
      <c r="CL88" s="150">
        <v>0</v>
      </c>
      <c r="CM88" s="150"/>
      <c r="CN88" s="150"/>
      <c r="CO88" s="150"/>
      <c r="CP88" s="150"/>
      <c r="CQ88" s="150">
        <f t="shared" si="343"/>
        <v>0</v>
      </c>
      <c r="CR88" s="150">
        <f t="shared" si="344"/>
        <v>0</v>
      </c>
      <c r="CS88" s="150">
        <f t="shared" si="345"/>
        <v>0</v>
      </c>
      <c r="CT88" s="150">
        <f t="shared" si="346"/>
        <v>0</v>
      </c>
      <c r="CU88" s="150">
        <v>0</v>
      </c>
      <c r="CV88" s="150">
        <v>0</v>
      </c>
      <c r="CW88" s="150">
        <f t="shared" si="349"/>
        <v>0</v>
      </c>
      <c r="CX88" s="150">
        <f t="shared" si="366"/>
        <v>0</v>
      </c>
      <c r="CY88" s="150"/>
      <c r="CZ88" s="150"/>
      <c r="DA88" s="150">
        <f t="shared" si="350"/>
        <v>0</v>
      </c>
      <c r="DB88" s="150">
        <f t="shared" si="351"/>
        <v>0</v>
      </c>
      <c r="DC88" s="150">
        <v>0</v>
      </c>
      <c r="DD88" s="150">
        <v>0</v>
      </c>
      <c r="DE88" s="150">
        <f t="shared" si="352"/>
        <v>0</v>
      </c>
      <c r="DF88" s="150">
        <f t="shared" si="353"/>
        <v>0</v>
      </c>
      <c r="DG88" s="150">
        <f t="shared" si="477"/>
        <v>0</v>
      </c>
      <c r="DH88" s="150">
        <f t="shared" si="477"/>
        <v>0</v>
      </c>
      <c r="DI88" s="150">
        <f t="shared" si="354"/>
        <v>0</v>
      </c>
      <c r="DJ88" s="150">
        <f>+DH88-DF88</f>
        <v>0</v>
      </c>
      <c r="DK88" s="104">
        <f t="shared" si="165"/>
        <v>0</v>
      </c>
      <c r="DL88" s="104">
        <f t="shared" si="166"/>
        <v>0</v>
      </c>
      <c r="DM88" s="104">
        <f t="shared" si="333"/>
        <v>0</v>
      </c>
      <c r="DN88" s="104">
        <f t="shared" si="334"/>
        <v>0</v>
      </c>
      <c r="DO88" s="104">
        <v>0</v>
      </c>
      <c r="DP88" s="104">
        <v>0</v>
      </c>
      <c r="DQ88" s="104">
        <v>0</v>
      </c>
      <c r="DR88" s="104">
        <v>0</v>
      </c>
    </row>
    <row r="89" spans="1:128" s="110" customFormat="1" ht="18.75">
      <c r="A89" s="45"/>
      <c r="B89" s="45"/>
      <c r="C89" s="46"/>
      <c r="D89" s="47" t="s">
        <v>133</v>
      </c>
      <c r="E89" s="48" t="s">
        <v>134</v>
      </c>
      <c r="F89" s="65">
        <v>87788.62999999999</v>
      </c>
      <c r="G89" s="65">
        <v>36316.740000000005</v>
      </c>
      <c r="H89" s="65">
        <v>89104.97</v>
      </c>
      <c r="I89" s="65">
        <v>36681.47</v>
      </c>
      <c r="J89" s="97" t="e">
        <f t="shared" ref="J89:AA89" si="486">+J88+J87+J86+J85+J82+J79+J75+J71+J68+J65+J62+J59+J56+J52+J49+J45+J44+J43+J39+J36+J33+J29+J26+J16+J13+J10+J7</f>
        <v>#REF!</v>
      </c>
      <c r="K89" s="97" t="e">
        <f t="shared" si="486"/>
        <v>#REF!</v>
      </c>
      <c r="L89" s="97" t="e">
        <f t="shared" si="486"/>
        <v>#REF!</v>
      </c>
      <c r="M89" s="97" t="e">
        <f t="shared" si="486"/>
        <v>#REF!</v>
      </c>
      <c r="N89" s="97" t="e">
        <f t="shared" si="486"/>
        <v>#REF!</v>
      </c>
      <c r="O89" s="97" t="e">
        <f t="shared" si="486"/>
        <v>#REF!</v>
      </c>
      <c r="P89" s="97" t="e">
        <f t="shared" si="486"/>
        <v>#REF!</v>
      </c>
      <c r="Q89" s="97" t="e">
        <f t="shared" si="486"/>
        <v>#REF!</v>
      </c>
      <c r="R89" s="97" t="e">
        <f t="shared" si="486"/>
        <v>#REF!</v>
      </c>
      <c r="S89" s="97" t="e">
        <f t="shared" si="486"/>
        <v>#REF!</v>
      </c>
      <c r="T89" s="97" t="e">
        <f t="shared" si="486"/>
        <v>#REF!</v>
      </c>
      <c r="U89" s="97" t="e">
        <f t="shared" si="486"/>
        <v>#REF!</v>
      </c>
      <c r="V89" s="97" t="e">
        <f t="shared" si="486"/>
        <v>#REF!</v>
      </c>
      <c r="W89" s="97" t="e">
        <f t="shared" si="486"/>
        <v>#REF!</v>
      </c>
      <c r="X89" s="97" t="e">
        <f t="shared" si="486"/>
        <v>#REF!</v>
      </c>
      <c r="Y89" s="97" t="e">
        <f t="shared" si="486"/>
        <v>#REF!</v>
      </c>
      <c r="Z89" s="97" t="e">
        <f t="shared" si="486"/>
        <v>#REF!</v>
      </c>
      <c r="AA89" s="97" t="e">
        <f t="shared" si="486"/>
        <v>#REF!</v>
      </c>
      <c r="AB89" s="65" t="e">
        <f t="shared" si="312"/>
        <v>#REF!</v>
      </c>
      <c r="AC89" s="109" t="e">
        <f t="shared" si="313"/>
        <v>#REF!</v>
      </c>
      <c r="AD89" s="65">
        <f t="shared" ref="AD89:AE89" si="487">+AD88+AD87+AD86+AD85+AD82+AD79+AD75+AD71+AD68+AD65+AD62+AD59+AD56+AD52+AD49+AD45+AD44+AD43+AD39+AD36+AD33+AD29+AD26+AD16+AD13+AD10+AD7</f>
        <v>94491.839999999997</v>
      </c>
      <c r="AE89" s="65">
        <f t="shared" si="487"/>
        <v>37642.29</v>
      </c>
      <c r="AF89" s="65">
        <f t="shared" ref="AF89:CQ89" si="488">+AF88+AF87+AF86+AF85+AF82+AF79+AF75+AF71+AF68+AF65+AF62+AF59+AF56+AF52+AF49+AF45+AF44+AF43+AF39+AF36+AF33+AF29+AF26+AF16+AF13+AF10+AF7</f>
        <v>36710.85</v>
      </c>
      <c r="AG89" s="65">
        <f t="shared" si="488"/>
        <v>23624</v>
      </c>
      <c r="AH89" s="65">
        <f t="shared" si="488"/>
        <v>9410</v>
      </c>
      <c r="AI89" s="65">
        <f t="shared" si="488"/>
        <v>7874</v>
      </c>
      <c r="AJ89" s="65">
        <f t="shared" si="488"/>
        <v>3137</v>
      </c>
      <c r="AK89" s="65">
        <f t="shared" si="488"/>
        <v>107</v>
      </c>
      <c r="AL89" s="65">
        <f t="shared" si="488"/>
        <v>12.95</v>
      </c>
      <c r="AM89" s="65">
        <f t="shared" si="488"/>
        <v>23622.98</v>
      </c>
      <c r="AN89" s="65">
        <f t="shared" si="488"/>
        <v>9231.07</v>
      </c>
      <c r="AO89" s="65">
        <f t="shared" si="488"/>
        <v>0</v>
      </c>
      <c r="AP89" s="65">
        <f t="shared" si="488"/>
        <v>0</v>
      </c>
      <c r="AQ89" s="65">
        <f t="shared" si="488"/>
        <v>47353.98000000001</v>
      </c>
      <c r="AR89" s="65">
        <f t="shared" si="488"/>
        <v>18654.02</v>
      </c>
      <c r="AS89" s="65">
        <f t="shared" si="488"/>
        <v>410</v>
      </c>
      <c r="AT89" s="65">
        <f t="shared" si="488"/>
        <v>145</v>
      </c>
      <c r="AU89" s="65">
        <f t="shared" si="488"/>
        <v>23694.760000000002</v>
      </c>
      <c r="AV89" s="65">
        <f t="shared" si="488"/>
        <v>11453.33</v>
      </c>
      <c r="AW89" s="65">
        <f t="shared" si="488"/>
        <v>192</v>
      </c>
      <c r="AX89" s="65">
        <f t="shared" si="488"/>
        <v>838.19</v>
      </c>
      <c r="AY89" s="65">
        <f t="shared" si="488"/>
        <v>79524.74000000002</v>
      </c>
      <c r="AZ89" s="65">
        <f t="shared" si="488"/>
        <v>34227.540000000008</v>
      </c>
      <c r="BA89" s="65">
        <f t="shared" si="488"/>
        <v>113752.27999999998</v>
      </c>
      <c r="BB89" s="65">
        <f t="shared" si="488"/>
        <v>75446.880000000005</v>
      </c>
      <c r="BC89" s="65">
        <f t="shared" si="488"/>
        <v>33594.109999999993</v>
      </c>
      <c r="BD89" s="65">
        <f t="shared" si="488"/>
        <v>4077.86</v>
      </c>
      <c r="BE89" s="65">
        <f t="shared" si="488"/>
        <v>633.43000000000143</v>
      </c>
      <c r="BF89" s="65">
        <f t="shared" si="488"/>
        <v>15089.38</v>
      </c>
      <c r="BG89" s="65">
        <f t="shared" si="488"/>
        <v>6718.83</v>
      </c>
      <c r="BH89" s="65">
        <f t="shared" si="488"/>
        <v>6389.8499999999995</v>
      </c>
      <c r="BI89" s="65">
        <f t="shared" si="488"/>
        <v>3028.9</v>
      </c>
      <c r="BJ89" s="65">
        <f t="shared" si="488"/>
        <v>130</v>
      </c>
      <c r="BK89" s="65">
        <f t="shared" si="488"/>
        <v>70.28</v>
      </c>
      <c r="BL89" s="65">
        <f t="shared" si="488"/>
        <v>86044.589999999982</v>
      </c>
      <c r="BM89" s="65">
        <f t="shared" si="488"/>
        <v>37326.720000000001</v>
      </c>
      <c r="BN89" s="65">
        <f t="shared" si="488"/>
        <v>127078.82999999999</v>
      </c>
      <c r="BO89" s="65">
        <f t="shared" si="488"/>
        <v>82127.890000000014</v>
      </c>
      <c r="BP89" s="129">
        <f t="shared" si="488"/>
        <v>36606.58</v>
      </c>
      <c r="BQ89" s="65">
        <f t="shared" si="488"/>
        <v>3916.7</v>
      </c>
      <c r="BR89" s="65">
        <f t="shared" si="488"/>
        <v>720.13999999999942</v>
      </c>
      <c r="BS89" s="65">
        <f t="shared" si="488"/>
        <v>7466.23</v>
      </c>
      <c r="BT89" s="65">
        <f t="shared" si="488"/>
        <v>3327.8799999999997</v>
      </c>
      <c r="BU89" s="65">
        <f t="shared" si="488"/>
        <v>4098.7800000000007</v>
      </c>
      <c r="BV89" s="65">
        <f t="shared" si="488"/>
        <v>2950.97</v>
      </c>
      <c r="BW89" s="65">
        <f t="shared" si="488"/>
        <v>7005.510000000002</v>
      </c>
      <c r="BX89" s="65">
        <f t="shared" si="488"/>
        <v>965.13</v>
      </c>
      <c r="BY89" s="65">
        <f t="shared" si="488"/>
        <v>0</v>
      </c>
      <c r="BZ89" s="65">
        <f t="shared" si="488"/>
        <v>0</v>
      </c>
      <c r="CA89" s="65">
        <f t="shared" si="488"/>
        <v>97132.979999999981</v>
      </c>
      <c r="CB89" s="65">
        <f t="shared" si="488"/>
        <v>41242.82</v>
      </c>
      <c r="CC89" s="65">
        <f t="shared" si="488"/>
        <v>106863.78</v>
      </c>
      <c r="CD89" s="129">
        <f t="shared" si="488"/>
        <v>47429.259999999995</v>
      </c>
      <c r="CE89" s="190">
        <f t="shared" si="488"/>
        <v>8906</v>
      </c>
      <c r="CF89" s="190">
        <f t="shared" si="488"/>
        <v>3945</v>
      </c>
      <c r="CG89" s="190">
        <f t="shared" si="488"/>
        <v>24283.27</v>
      </c>
      <c r="CH89" s="190">
        <f t="shared" si="488"/>
        <v>10310.719999999998</v>
      </c>
      <c r="CI89" s="190">
        <f t="shared" si="488"/>
        <v>0</v>
      </c>
      <c r="CJ89" s="190">
        <f t="shared" si="488"/>
        <v>0</v>
      </c>
      <c r="CK89" s="190">
        <f t="shared" si="488"/>
        <v>25249.14</v>
      </c>
      <c r="CL89" s="190">
        <f t="shared" si="488"/>
        <v>10561.27</v>
      </c>
      <c r="CM89" s="190">
        <f t="shared" si="488"/>
        <v>50</v>
      </c>
      <c r="CN89" s="190">
        <f t="shared" si="488"/>
        <v>346.05</v>
      </c>
      <c r="CO89" s="190">
        <f t="shared" si="488"/>
        <v>113708.90999999999</v>
      </c>
      <c r="CP89" s="190">
        <f t="shared" si="488"/>
        <v>43044.45</v>
      </c>
      <c r="CQ89" s="190">
        <f t="shared" si="488"/>
        <v>100996.56</v>
      </c>
      <c r="CR89" s="190">
        <f t="shared" ref="CR89:DQ89" si="489">+CR88+CR87+CR86+CR85+CR82+CR79+CR75+CR71+CR68+CR65+CR62+CR59+CR56+CR52+CR49+CR45+CR44+CR43+CR39+CR36+CR33+CR29+CR26+CR16+CR13+CR10+CR7</f>
        <v>42245.08</v>
      </c>
      <c r="CS89" s="190">
        <f t="shared" si="489"/>
        <v>99236.219999999987</v>
      </c>
      <c r="CT89" s="190">
        <f t="shared" si="489"/>
        <v>40891.449999999997</v>
      </c>
      <c r="CU89" s="190">
        <f t="shared" si="489"/>
        <v>100842.43</v>
      </c>
      <c r="CV89" s="190">
        <f t="shared" si="489"/>
        <v>41568.83</v>
      </c>
      <c r="CW89" s="190">
        <f t="shared" si="489"/>
        <v>25078.579999999998</v>
      </c>
      <c r="CX89" s="190">
        <f t="shared" si="489"/>
        <v>10083.4</v>
      </c>
      <c r="CY89" s="190">
        <f t="shared" si="489"/>
        <v>445</v>
      </c>
      <c r="CZ89" s="190">
        <f t="shared" si="489"/>
        <v>910</v>
      </c>
      <c r="DA89" s="190">
        <f t="shared" si="489"/>
        <v>59728.72</v>
      </c>
      <c r="DB89" s="190">
        <f t="shared" si="489"/>
        <v>25845.72</v>
      </c>
      <c r="DC89" s="190">
        <f t="shared" si="489"/>
        <v>56183.48</v>
      </c>
      <c r="DD89" s="190">
        <f t="shared" si="489"/>
        <v>25112.14</v>
      </c>
      <c r="DE89" s="190">
        <f t="shared" si="489"/>
        <v>3545.24</v>
      </c>
      <c r="DF89" s="190">
        <f t="shared" si="489"/>
        <v>733.58000000000015</v>
      </c>
      <c r="DG89" s="190">
        <f t="shared" si="489"/>
        <v>25020.460000000003</v>
      </c>
      <c r="DH89" s="190">
        <f t="shared" si="489"/>
        <v>10303.41</v>
      </c>
      <c r="DI89" s="190">
        <f t="shared" si="489"/>
        <v>21700.840000000004</v>
      </c>
      <c r="DJ89" s="190">
        <f>+DJ88+DJ87+DJ86+DJ85+DJ82+DJ79+DJ75+DJ71+DJ68+DJ65+DJ62+DJ59+DJ56+DJ52+DJ49+DJ45+DJ44+DJ43+DJ39+DJ36+DJ33+DJ29+DJ26+DJ16+DJ13+DJ10+DJ7</f>
        <v>9642.119999999999</v>
      </c>
      <c r="DK89" s="104">
        <f t="shared" si="165"/>
        <v>25609.159849999975</v>
      </c>
      <c r="DL89" s="104">
        <f t="shared" si="166"/>
        <v>9411.91</v>
      </c>
      <c r="DM89" s="104">
        <f t="shared" si="333"/>
        <v>19412.869999999988</v>
      </c>
      <c r="DN89" s="104">
        <f t="shared" si="334"/>
        <v>6080.9900000000016</v>
      </c>
      <c r="DO89" s="65">
        <f t="shared" si="489"/>
        <v>107038.71984999998</v>
      </c>
      <c r="DP89" s="65">
        <f t="shared" si="489"/>
        <v>44899.75</v>
      </c>
      <c r="DQ89" s="65">
        <f t="shared" si="489"/>
        <v>112725.22</v>
      </c>
      <c r="DR89" s="65">
        <f t="shared" ref="DR89:DV89" si="490">+DR88+DR87+DR86+DR85+DR82+DR79+DR75+DR71+DR68+DR65+DR62+DR59+DR56+DR52+DR49+DR45+DR44+DR43+DR39+DR36+DR33+DR29+DR26+DR16+DR13+DR10+DR7</f>
        <v>47201.23</v>
      </c>
      <c r="DS89" s="65">
        <f t="shared" si="490"/>
        <v>495.23</v>
      </c>
      <c r="DT89" s="65">
        <f t="shared" si="490"/>
        <v>495.23</v>
      </c>
      <c r="DU89" s="65">
        <f t="shared" si="490"/>
        <v>0</v>
      </c>
      <c r="DV89" s="65">
        <f t="shared" si="490"/>
        <v>0</v>
      </c>
    </row>
    <row r="90" spans="1:128" ht="18.75">
      <c r="A90" s="50">
        <v>1</v>
      </c>
      <c r="B90" s="50" t="s">
        <v>135</v>
      </c>
      <c r="C90" s="51" t="s">
        <v>136</v>
      </c>
      <c r="D90" s="52" t="s">
        <v>137</v>
      </c>
      <c r="E90" s="53" t="s">
        <v>138</v>
      </c>
      <c r="F90" s="81">
        <v>1761.76</v>
      </c>
      <c r="G90" s="81">
        <v>189.32</v>
      </c>
      <c r="H90" s="81">
        <v>1761.76</v>
      </c>
      <c r="I90" s="54">
        <v>189.32</v>
      </c>
      <c r="J90" s="93">
        <v>2250</v>
      </c>
      <c r="K90" s="93">
        <v>0</v>
      </c>
      <c r="L90" s="93">
        <v>0</v>
      </c>
      <c r="M90" s="88">
        <f t="shared" si="478"/>
        <v>2250</v>
      </c>
      <c r="N90" s="93">
        <v>0</v>
      </c>
      <c r="O90" s="93">
        <v>0</v>
      </c>
      <c r="P90" s="93">
        <v>0</v>
      </c>
      <c r="Q90" s="88">
        <f t="shared" si="479"/>
        <v>0</v>
      </c>
      <c r="R90" s="88">
        <f>+Q90+M90</f>
        <v>2250</v>
      </c>
      <c r="S90" s="93">
        <v>250</v>
      </c>
      <c r="V90" s="54">
        <f t="shared" ref="V90:V91" si="491">ROUND(H90*1.0583,2)</f>
        <v>1864.47</v>
      </c>
      <c r="W90" s="54">
        <f t="shared" ref="W90:W91" si="492">ROUND(I90*1.0327,2)</f>
        <v>195.51</v>
      </c>
      <c r="X90" s="54">
        <f t="shared" si="310"/>
        <v>385.53</v>
      </c>
      <c r="Y90" s="54">
        <f t="shared" si="311"/>
        <v>54.490000000000009</v>
      </c>
      <c r="Z90" s="54">
        <v>1864.47</v>
      </c>
      <c r="AA90" s="54"/>
      <c r="AB90" s="54">
        <f t="shared" si="312"/>
        <v>1864.47</v>
      </c>
      <c r="AC90" s="109">
        <f t="shared" si="313"/>
        <v>0</v>
      </c>
      <c r="AD90" s="22">
        <f t="shared" ref="AD90:AD91" si="493">IF(X90&gt;0,V90,R90)</f>
        <v>1864.47</v>
      </c>
      <c r="AE90" s="22">
        <f t="shared" ref="AE90:AE91" si="494">IF(Y90&gt;0,W90,S90)</f>
        <v>195.51</v>
      </c>
      <c r="AF90" s="22">
        <f t="shared" si="314"/>
        <v>225.55</v>
      </c>
      <c r="AG90" s="108">
        <f t="shared" si="315"/>
        <v>466</v>
      </c>
      <c r="AH90" s="108">
        <f t="shared" si="316"/>
        <v>49</v>
      </c>
      <c r="AI90" s="127">
        <f t="shared" si="317"/>
        <v>155</v>
      </c>
      <c r="AJ90" s="108">
        <f t="shared" si="318"/>
        <v>16</v>
      </c>
      <c r="AM90" s="108">
        <f t="shared" si="319"/>
        <v>466.12</v>
      </c>
      <c r="AN90" s="108">
        <f t="shared" si="320"/>
        <v>47.61</v>
      </c>
      <c r="AQ90" s="108">
        <f t="shared" si="321"/>
        <v>932.12</v>
      </c>
      <c r="AR90" s="108">
        <f t="shared" si="322"/>
        <v>96.61</v>
      </c>
      <c r="AU90" s="108">
        <f>ROUND(AD90*25%,2)</f>
        <v>466.12</v>
      </c>
      <c r="AV90" s="108">
        <f t="shared" si="184"/>
        <v>48.88</v>
      </c>
      <c r="AY90" s="108">
        <f t="shared" si="303"/>
        <v>1553.24</v>
      </c>
      <c r="AZ90" s="108">
        <f t="shared" si="304"/>
        <v>161.49</v>
      </c>
      <c r="BA90" s="108">
        <f t="shared" si="305"/>
        <v>1714.73</v>
      </c>
      <c r="BB90" s="139">
        <v>1520.11</v>
      </c>
      <c r="BC90" s="139">
        <v>85.83</v>
      </c>
      <c r="BD90" s="139">
        <f t="shared" si="306"/>
        <v>33.130000000000109</v>
      </c>
      <c r="BE90" s="139">
        <f t="shared" si="307"/>
        <v>75.660000000000011</v>
      </c>
      <c r="BF90" s="139">
        <f t="shared" si="308"/>
        <v>304.02</v>
      </c>
      <c r="BG90" s="139">
        <f t="shared" si="309"/>
        <v>17.170000000000002</v>
      </c>
      <c r="BH90" s="108">
        <v>135.44999999999999</v>
      </c>
      <c r="BI90" s="108">
        <v>0</v>
      </c>
      <c r="BL90" s="108">
        <f t="shared" si="332"/>
        <v>1688.69</v>
      </c>
      <c r="BM90" s="108">
        <f t="shared" si="335"/>
        <v>161.49</v>
      </c>
      <c r="BN90" s="108">
        <f t="shared" si="336"/>
        <v>1850.18</v>
      </c>
      <c r="BO90" s="108">
        <v>1672.86</v>
      </c>
      <c r="BP90" s="127">
        <v>86.96</v>
      </c>
      <c r="BQ90" s="108">
        <f t="shared" si="337"/>
        <v>15.830000000000155</v>
      </c>
      <c r="BR90" s="108">
        <f t="shared" si="338"/>
        <v>74.530000000000015</v>
      </c>
      <c r="BS90" s="108">
        <f t="shared" si="339"/>
        <v>152.08000000000001</v>
      </c>
      <c r="BT90" s="108">
        <f t="shared" si="340"/>
        <v>7.91</v>
      </c>
      <c r="BU90" s="108">
        <f t="shared" si="364"/>
        <v>136.24999999999986</v>
      </c>
      <c r="BV90" s="108">
        <v>0</v>
      </c>
      <c r="CA90" s="108">
        <v>1824.9399999999998</v>
      </c>
      <c r="CB90" s="108">
        <v>161.49</v>
      </c>
      <c r="CC90">
        <v>2007.43</v>
      </c>
      <c r="CD90">
        <v>185.71</v>
      </c>
      <c r="CE90" s="189">
        <v>167</v>
      </c>
      <c r="CF90" s="189">
        <v>15</v>
      </c>
      <c r="CG90" s="189">
        <f t="shared" si="341"/>
        <v>456.24</v>
      </c>
      <c r="CH90" s="189">
        <f t="shared" si="342"/>
        <v>40.369999999999997</v>
      </c>
      <c r="CI90" s="150"/>
      <c r="CJ90" s="150"/>
      <c r="CK90" s="150">
        <f>510-10</f>
        <v>500</v>
      </c>
      <c r="CL90" s="150">
        <f>50-10</f>
        <v>40</v>
      </c>
      <c r="CM90" s="150"/>
      <c r="CN90" s="150"/>
      <c r="CO90" s="150">
        <v>2030</v>
      </c>
      <c r="CP90" s="150">
        <v>212</v>
      </c>
      <c r="CQ90" s="150">
        <f t="shared" si="343"/>
        <v>2000</v>
      </c>
      <c r="CR90" s="150">
        <f t="shared" si="344"/>
        <v>160</v>
      </c>
      <c r="CS90" s="150">
        <f t="shared" si="345"/>
        <v>2000</v>
      </c>
      <c r="CT90" s="150">
        <f t="shared" si="346"/>
        <v>160</v>
      </c>
      <c r="CU90" s="150">
        <v>2200</v>
      </c>
      <c r="CV90" s="150">
        <v>250</v>
      </c>
      <c r="CW90" s="150">
        <f t="shared" si="349"/>
        <v>550</v>
      </c>
      <c r="CX90" s="150">
        <f t="shared" si="366"/>
        <v>62.5</v>
      </c>
      <c r="CY90" s="150"/>
      <c r="CZ90" s="150"/>
      <c r="DA90" s="150">
        <f t="shared" si="350"/>
        <v>1217</v>
      </c>
      <c r="DB90" s="150">
        <f t="shared" si="351"/>
        <v>117.5</v>
      </c>
      <c r="DC90" s="150">
        <v>1099.1600000000001</v>
      </c>
      <c r="DD90" s="150">
        <v>116.64</v>
      </c>
      <c r="DE90" s="150">
        <f t="shared" si="352"/>
        <v>117.83999999999992</v>
      </c>
      <c r="DF90" s="150">
        <f t="shared" si="353"/>
        <v>0.85999999999999943</v>
      </c>
      <c r="DG90" s="150">
        <f t="shared" ref="DG90:DH92" si="495">ROUND(0.25*(MIN(CU90,DO90)),2)</f>
        <v>550</v>
      </c>
      <c r="DH90" s="150">
        <f t="shared" si="495"/>
        <v>62.5</v>
      </c>
      <c r="DI90" s="150">
        <f t="shared" si="354"/>
        <v>432.16000000000008</v>
      </c>
      <c r="DJ90" s="150">
        <f>+DH90-DF90</f>
        <v>61.64</v>
      </c>
      <c r="DK90" s="104">
        <f t="shared" si="165"/>
        <v>550.83999999999992</v>
      </c>
      <c r="DL90" s="104">
        <f t="shared" si="166"/>
        <v>70.86</v>
      </c>
      <c r="DM90" s="104">
        <f t="shared" si="333"/>
        <v>550.83999999999992</v>
      </c>
      <c r="DN90" s="104">
        <f t="shared" si="334"/>
        <v>70.86</v>
      </c>
      <c r="DO90" s="104">
        <v>2200</v>
      </c>
      <c r="DP90" s="104">
        <v>250</v>
      </c>
      <c r="DQ90" s="104">
        <v>2500</v>
      </c>
      <c r="DR90" s="104">
        <v>350</v>
      </c>
    </row>
    <row r="91" spans="1:128" ht="18.75">
      <c r="A91" s="13">
        <v>2</v>
      </c>
      <c r="B91" s="13"/>
      <c r="C91" s="14"/>
      <c r="D91" s="15" t="s">
        <v>139</v>
      </c>
      <c r="E91" s="16"/>
      <c r="F91" s="81">
        <v>1508.2699999999998</v>
      </c>
      <c r="G91" s="81">
        <v>151.47</v>
      </c>
      <c r="H91" s="81">
        <v>1508.2699999999998</v>
      </c>
      <c r="I91" s="17">
        <v>200</v>
      </c>
      <c r="J91" s="86">
        <v>1350</v>
      </c>
      <c r="K91" s="87">
        <v>300</v>
      </c>
      <c r="L91" s="87">
        <v>0</v>
      </c>
      <c r="M91" s="87">
        <f t="shared" si="478"/>
        <v>1650</v>
      </c>
      <c r="N91" s="87">
        <v>0</v>
      </c>
      <c r="O91" s="87">
        <v>0</v>
      </c>
      <c r="P91" s="87">
        <v>0</v>
      </c>
      <c r="Q91" s="87">
        <f t="shared" si="479"/>
        <v>0</v>
      </c>
      <c r="R91" s="87">
        <f t="shared" ref="R91" si="496">Q91+M91</f>
        <v>1650</v>
      </c>
      <c r="S91" s="87">
        <v>100</v>
      </c>
      <c r="V91" s="17">
        <f t="shared" si="491"/>
        <v>1596.2</v>
      </c>
      <c r="W91" s="17">
        <f t="shared" si="492"/>
        <v>206.54</v>
      </c>
      <c r="X91" s="108">
        <f t="shared" si="310"/>
        <v>53.799999999999955</v>
      </c>
      <c r="Y91" s="108">
        <f t="shared" si="311"/>
        <v>-106.53999999999999</v>
      </c>
      <c r="Z91" s="108">
        <v>1596.2</v>
      </c>
      <c r="AA91" s="108"/>
      <c r="AB91" s="108">
        <f t="shared" si="312"/>
        <v>1596.2</v>
      </c>
      <c r="AC91" s="109">
        <f t="shared" si="313"/>
        <v>0</v>
      </c>
      <c r="AD91" s="108">
        <f t="shared" si="493"/>
        <v>1596.2</v>
      </c>
      <c r="AE91" s="108">
        <f t="shared" si="494"/>
        <v>100</v>
      </c>
      <c r="AF91" s="108">
        <f t="shared" si="314"/>
        <v>90.22</v>
      </c>
      <c r="AG91" s="108">
        <f t="shared" si="315"/>
        <v>399</v>
      </c>
      <c r="AH91" s="108">
        <f t="shared" si="316"/>
        <v>25</v>
      </c>
      <c r="AI91" s="127">
        <f t="shared" si="317"/>
        <v>133</v>
      </c>
      <c r="AJ91" s="108">
        <f t="shared" si="318"/>
        <v>8</v>
      </c>
      <c r="AM91" s="108">
        <f t="shared" si="319"/>
        <v>399.05</v>
      </c>
      <c r="AN91" s="108">
        <f t="shared" si="320"/>
        <v>24.35</v>
      </c>
      <c r="AQ91" s="108">
        <f t="shared" si="321"/>
        <v>798.05</v>
      </c>
      <c r="AR91" s="108">
        <f t="shared" si="322"/>
        <v>49.35</v>
      </c>
      <c r="AU91" s="108">
        <f t="shared" ref="AU91:AU154" si="497">ROUND(AD91*25%,2)</f>
        <v>399.05</v>
      </c>
      <c r="AV91" s="108">
        <f t="shared" si="184"/>
        <v>25</v>
      </c>
      <c r="AY91" s="108">
        <f t="shared" si="303"/>
        <v>1330.1</v>
      </c>
      <c r="AZ91" s="108">
        <f t="shared" si="304"/>
        <v>82.35</v>
      </c>
      <c r="BA91" s="108">
        <f t="shared" si="305"/>
        <v>1412.4499999999998</v>
      </c>
      <c r="BB91" s="139">
        <v>1216.96</v>
      </c>
      <c r="BC91" s="139">
        <v>79.38</v>
      </c>
      <c r="BD91" s="139">
        <f t="shared" si="306"/>
        <v>113.13999999999987</v>
      </c>
      <c r="BE91" s="139">
        <f t="shared" si="307"/>
        <v>2.9699999999999989</v>
      </c>
      <c r="BF91" s="139">
        <f t="shared" si="308"/>
        <v>243.39</v>
      </c>
      <c r="BG91" s="139">
        <f t="shared" si="309"/>
        <v>15.88</v>
      </c>
      <c r="BH91" s="108">
        <v>65.13</v>
      </c>
      <c r="BI91" s="108">
        <v>6.46</v>
      </c>
      <c r="BL91" s="108">
        <f t="shared" si="332"/>
        <v>1395.23</v>
      </c>
      <c r="BM91" s="108">
        <f t="shared" si="335"/>
        <v>88.809999999999988</v>
      </c>
      <c r="BN91" s="108">
        <f t="shared" si="336"/>
        <v>1484.04</v>
      </c>
      <c r="BO91" s="108">
        <v>1335.41</v>
      </c>
      <c r="BP91" s="127">
        <v>79.569999999999993</v>
      </c>
      <c r="BQ91" s="108">
        <f t="shared" si="337"/>
        <v>59.819999999999936</v>
      </c>
      <c r="BR91" s="108">
        <f t="shared" si="338"/>
        <v>9.2399999999999949</v>
      </c>
      <c r="BS91" s="108">
        <f t="shared" si="339"/>
        <v>121.4</v>
      </c>
      <c r="BT91" s="108">
        <f t="shared" si="340"/>
        <v>7.23</v>
      </c>
      <c r="BU91" s="108">
        <v>61.58</v>
      </c>
      <c r="BV91" s="108">
        <v>0</v>
      </c>
      <c r="BW91" s="108">
        <v>30</v>
      </c>
      <c r="BX91" s="108">
        <v>50</v>
      </c>
      <c r="CA91" s="108">
        <v>1486.81</v>
      </c>
      <c r="CB91" s="108">
        <v>138.81</v>
      </c>
      <c r="CC91">
        <v>1635.49</v>
      </c>
      <c r="CD91">
        <v>159.63</v>
      </c>
      <c r="CE91" s="189">
        <v>136</v>
      </c>
      <c r="CF91" s="189">
        <v>13</v>
      </c>
      <c r="CG91" s="189">
        <f t="shared" si="341"/>
        <v>371.7</v>
      </c>
      <c r="CH91" s="189">
        <f t="shared" si="342"/>
        <v>34.700000000000003</v>
      </c>
      <c r="CI91" s="150"/>
      <c r="CJ91" s="150"/>
      <c r="CK91" s="150">
        <v>400</v>
      </c>
      <c r="CL91" s="150">
        <v>35</v>
      </c>
      <c r="CM91" s="150"/>
      <c r="CN91" s="150">
        <v>100</v>
      </c>
      <c r="CO91" s="150">
        <v>1750</v>
      </c>
      <c r="CP91" s="150">
        <v>386</v>
      </c>
      <c r="CQ91" s="150">
        <f t="shared" si="343"/>
        <v>1600</v>
      </c>
      <c r="CR91" s="150">
        <f>ROUND(CL91/3*12,2)+246</f>
        <v>386</v>
      </c>
      <c r="CS91" s="150">
        <f t="shared" si="345"/>
        <v>1600</v>
      </c>
      <c r="CT91" s="150">
        <f t="shared" si="346"/>
        <v>386</v>
      </c>
      <c r="CU91" s="150">
        <v>1600</v>
      </c>
      <c r="CV91" s="150">
        <v>386</v>
      </c>
      <c r="CW91" s="150">
        <f t="shared" si="349"/>
        <v>400</v>
      </c>
      <c r="CX91" s="150">
        <f>ROUND(CV91*25%,2)-50</f>
        <v>46.5</v>
      </c>
      <c r="CY91" s="150"/>
      <c r="CZ91" s="150"/>
      <c r="DA91" s="150">
        <f t="shared" si="350"/>
        <v>936</v>
      </c>
      <c r="DB91" s="150">
        <f t="shared" si="351"/>
        <v>194.5</v>
      </c>
      <c r="DC91" s="150">
        <v>904.81</v>
      </c>
      <c r="DD91" s="150">
        <v>180.28</v>
      </c>
      <c r="DE91" s="150">
        <f t="shared" si="352"/>
        <v>31.190000000000055</v>
      </c>
      <c r="DF91" s="150">
        <f t="shared" si="353"/>
        <v>14.219999999999999</v>
      </c>
      <c r="DG91" s="150">
        <f t="shared" si="495"/>
        <v>400</v>
      </c>
      <c r="DH91" s="150">
        <f t="shared" si="495"/>
        <v>96.5</v>
      </c>
      <c r="DI91" s="150">
        <f t="shared" si="354"/>
        <v>368.80999999999995</v>
      </c>
      <c r="DJ91" s="150">
        <f>+DH91-DF91</f>
        <v>82.28</v>
      </c>
      <c r="DK91" s="104">
        <f t="shared" si="165"/>
        <v>295.19000000000005</v>
      </c>
      <c r="DL91" s="104">
        <f t="shared" si="166"/>
        <v>109.22</v>
      </c>
      <c r="DM91" s="104">
        <f t="shared" si="333"/>
        <v>295.19000000000005</v>
      </c>
      <c r="DN91" s="104">
        <f t="shared" si="334"/>
        <v>109.22</v>
      </c>
      <c r="DO91" s="104">
        <v>1600</v>
      </c>
      <c r="DP91" s="104">
        <v>386</v>
      </c>
      <c r="DQ91" s="104">
        <v>1700</v>
      </c>
      <c r="DR91" s="104">
        <v>150</v>
      </c>
    </row>
    <row r="92" spans="1:128" ht="18.75">
      <c r="A92" s="13">
        <v>3</v>
      </c>
      <c r="B92" s="13"/>
      <c r="C92" s="14"/>
      <c r="D92" s="15" t="s">
        <v>140</v>
      </c>
      <c r="E92" s="16"/>
      <c r="F92" s="81">
        <v>628.55000000000018</v>
      </c>
      <c r="G92" s="81">
        <v>0</v>
      </c>
      <c r="H92" s="81">
        <v>688.72000000000014</v>
      </c>
      <c r="I92" s="17">
        <v>0</v>
      </c>
      <c r="J92" s="86">
        <v>750</v>
      </c>
      <c r="K92" s="87">
        <v>0</v>
      </c>
      <c r="L92" s="87">
        <v>0</v>
      </c>
      <c r="M92" s="87">
        <f t="shared" si="478"/>
        <v>750</v>
      </c>
      <c r="N92" s="87">
        <v>0</v>
      </c>
      <c r="O92" s="87">
        <v>0</v>
      </c>
      <c r="P92" s="87">
        <v>0</v>
      </c>
      <c r="Q92" s="87">
        <f t="shared" si="479"/>
        <v>0</v>
      </c>
      <c r="R92" s="87">
        <v>0</v>
      </c>
      <c r="S92" s="87">
        <v>0</v>
      </c>
      <c r="V92" s="17">
        <f t="shared" ref="V92" si="498">ROUND(H92*1.0583,2)</f>
        <v>728.87</v>
      </c>
      <c r="W92" s="17">
        <f t="shared" ref="W92" si="499">ROUND(I92*1.0327,2)</f>
        <v>0</v>
      </c>
      <c r="X92" s="108">
        <f t="shared" si="310"/>
        <v>-728.87</v>
      </c>
      <c r="Y92" s="108">
        <f t="shared" si="311"/>
        <v>0</v>
      </c>
      <c r="Z92" s="109">
        <v>800</v>
      </c>
      <c r="AA92" s="108"/>
      <c r="AB92" s="108">
        <f t="shared" si="312"/>
        <v>800</v>
      </c>
      <c r="AC92" s="109">
        <f t="shared" si="313"/>
        <v>0</v>
      </c>
      <c r="AD92" s="109">
        <f>IF(X92&gt;0,V92,R92)+800</f>
        <v>800</v>
      </c>
      <c r="AE92" s="108">
        <f t="shared" ref="AE92" si="500">IF(Y92&gt;0,W92,S92)</f>
        <v>0</v>
      </c>
      <c r="AF92" s="108">
        <f t="shared" si="314"/>
        <v>0</v>
      </c>
      <c r="AG92" s="108">
        <f>ROUND(AD92/4,0)-200</f>
        <v>0</v>
      </c>
      <c r="AH92" s="108">
        <f t="shared" si="316"/>
        <v>0</v>
      </c>
      <c r="AI92" s="127">
        <f>ROUND(AD92/12,0)-67</f>
        <v>0</v>
      </c>
      <c r="AJ92" s="108">
        <f t="shared" si="318"/>
        <v>0</v>
      </c>
      <c r="AK92" s="143">
        <v>200</v>
      </c>
      <c r="AM92" s="108">
        <f t="shared" si="319"/>
        <v>200</v>
      </c>
      <c r="AN92" s="108">
        <f t="shared" si="320"/>
        <v>0</v>
      </c>
      <c r="AQ92" s="108">
        <f t="shared" si="321"/>
        <v>400</v>
      </c>
      <c r="AR92" s="108">
        <f t="shared" si="322"/>
        <v>0</v>
      </c>
      <c r="AU92" s="108">
        <f t="shared" si="497"/>
        <v>200</v>
      </c>
      <c r="AV92" s="108">
        <f t="shared" si="184"/>
        <v>0</v>
      </c>
      <c r="AY92" s="108">
        <f t="shared" si="303"/>
        <v>600</v>
      </c>
      <c r="AZ92" s="108">
        <f t="shared" si="304"/>
        <v>0</v>
      </c>
      <c r="BA92" s="108">
        <f t="shared" si="305"/>
        <v>600</v>
      </c>
      <c r="BB92" s="139">
        <v>600</v>
      </c>
      <c r="BD92" s="139">
        <f t="shared" si="306"/>
        <v>0</v>
      </c>
      <c r="BE92" s="139">
        <f t="shared" si="307"/>
        <v>0</v>
      </c>
      <c r="BF92" s="139">
        <f t="shared" si="308"/>
        <v>120</v>
      </c>
      <c r="BG92" s="139">
        <f t="shared" si="309"/>
        <v>0</v>
      </c>
      <c r="BH92" s="108">
        <v>50</v>
      </c>
      <c r="BI92" s="108">
        <v>0</v>
      </c>
      <c r="BL92" s="108">
        <f t="shared" si="332"/>
        <v>650</v>
      </c>
      <c r="BM92" s="108">
        <f t="shared" si="335"/>
        <v>0</v>
      </c>
      <c r="BN92" s="108">
        <f t="shared" si="336"/>
        <v>650</v>
      </c>
      <c r="BO92" s="108">
        <v>600</v>
      </c>
      <c r="BP92" s="127"/>
      <c r="BQ92" s="108">
        <f t="shared" si="337"/>
        <v>50</v>
      </c>
      <c r="BR92" s="108">
        <f t="shared" si="338"/>
        <v>0</v>
      </c>
      <c r="BS92" s="108">
        <f t="shared" si="339"/>
        <v>54.55</v>
      </c>
      <c r="BT92" s="108">
        <f t="shared" si="340"/>
        <v>0</v>
      </c>
      <c r="BU92" s="108">
        <f t="shared" si="364"/>
        <v>4.5499999999999972</v>
      </c>
      <c r="BV92" s="108">
        <f>ROUND(BT92-BR92,2)</f>
        <v>0</v>
      </c>
      <c r="CA92" s="108">
        <v>654.54999999999995</v>
      </c>
      <c r="CB92" s="108">
        <v>0</v>
      </c>
      <c r="CC92">
        <v>720.01</v>
      </c>
      <c r="CD92">
        <v>0</v>
      </c>
      <c r="CE92" s="189">
        <v>60</v>
      </c>
      <c r="CF92" s="189">
        <v>0</v>
      </c>
      <c r="CG92" s="189">
        <f t="shared" si="341"/>
        <v>163.63999999999999</v>
      </c>
      <c r="CH92" s="189">
        <f t="shared" si="342"/>
        <v>0</v>
      </c>
      <c r="CI92" s="150"/>
      <c r="CJ92" s="150"/>
      <c r="CK92" s="150">
        <v>165</v>
      </c>
      <c r="CL92" s="150"/>
      <c r="CM92" s="150"/>
      <c r="CN92" s="150"/>
      <c r="CO92" s="150">
        <v>805</v>
      </c>
      <c r="CP92" s="150"/>
      <c r="CQ92" s="150">
        <f t="shared" si="343"/>
        <v>660</v>
      </c>
      <c r="CR92" s="150">
        <f t="shared" si="344"/>
        <v>0</v>
      </c>
      <c r="CS92" s="150">
        <f t="shared" si="345"/>
        <v>660</v>
      </c>
      <c r="CT92" s="150">
        <f t="shared" si="346"/>
        <v>0</v>
      </c>
      <c r="CU92" s="150">
        <v>660</v>
      </c>
      <c r="CV92" s="150">
        <v>0</v>
      </c>
      <c r="CW92" s="150">
        <f t="shared" si="349"/>
        <v>165</v>
      </c>
      <c r="CX92" s="150">
        <f t="shared" si="366"/>
        <v>0</v>
      </c>
      <c r="CY92" s="150"/>
      <c r="CZ92" s="150"/>
      <c r="DA92" s="150">
        <f t="shared" si="350"/>
        <v>390</v>
      </c>
      <c r="DB92" s="150">
        <f t="shared" si="351"/>
        <v>0</v>
      </c>
      <c r="DC92" s="150">
        <v>355</v>
      </c>
      <c r="DD92" s="150">
        <v>0</v>
      </c>
      <c r="DE92" s="150">
        <f t="shared" si="352"/>
        <v>35</v>
      </c>
      <c r="DF92" s="150">
        <f t="shared" si="353"/>
        <v>0</v>
      </c>
      <c r="DG92" s="150">
        <f t="shared" si="495"/>
        <v>103.75</v>
      </c>
      <c r="DH92" s="150">
        <f t="shared" si="495"/>
        <v>0</v>
      </c>
      <c r="DI92" s="150">
        <f t="shared" si="354"/>
        <v>68.75</v>
      </c>
      <c r="DJ92" s="150">
        <f>+DH92-DF92</f>
        <v>0</v>
      </c>
      <c r="DK92" s="104">
        <f t="shared" si="165"/>
        <v>-43.75</v>
      </c>
      <c r="DL92" s="104">
        <f t="shared" si="166"/>
        <v>0</v>
      </c>
      <c r="DM92" s="104">
        <f t="shared" si="333"/>
        <v>201.25</v>
      </c>
      <c r="DN92" s="104">
        <f t="shared" si="334"/>
        <v>0</v>
      </c>
      <c r="DO92" s="104">
        <v>415</v>
      </c>
      <c r="DP92" s="104">
        <v>0</v>
      </c>
      <c r="DQ92" s="104">
        <v>650</v>
      </c>
      <c r="DR92" s="104">
        <v>0</v>
      </c>
    </row>
    <row r="93" spans="1:128" ht="18.75">
      <c r="A93" s="18"/>
      <c r="B93" s="18" t="s">
        <v>141</v>
      </c>
      <c r="C93" s="19" t="s">
        <v>85</v>
      </c>
      <c r="D93" s="20" t="s">
        <v>139</v>
      </c>
      <c r="E93" s="21" t="s">
        <v>142</v>
      </c>
      <c r="F93" s="22">
        <v>2136.8199999999997</v>
      </c>
      <c r="G93" s="22">
        <v>151.47</v>
      </c>
      <c r="H93" s="22">
        <v>2196.9899999999998</v>
      </c>
      <c r="I93" s="22">
        <v>200</v>
      </c>
      <c r="J93" s="88">
        <f t="shared" ref="J93:AA93" si="501">+J91+J92</f>
        <v>2100</v>
      </c>
      <c r="K93" s="88">
        <f t="shared" si="501"/>
        <v>300</v>
      </c>
      <c r="L93" s="88">
        <f t="shared" si="501"/>
        <v>0</v>
      </c>
      <c r="M93" s="88">
        <f t="shared" si="501"/>
        <v>2400</v>
      </c>
      <c r="N93" s="88">
        <f t="shared" si="501"/>
        <v>0</v>
      </c>
      <c r="O93" s="88">
        <f t="shared" si="501"/>
        <v>0</v>
      </c>
      <c r="P93" s="88">
        <f t="shared" si="501"/>
        <v>0</v>
      </c>
      <c r="Q93" s="88">
        <f t="shared" si="501"/>
        <v>0</v>
      </c>
      <c r="R93" s="88">
        <f t="shared" si="501"/>
        <v>1650</v>
      </c>
      <c r="S93" s="88">
        <f t="shared" si="501"/>
        <v>100</v>
      </c>
      <c r="T93" s="88">
        <f t="shared" si="501"/>
        <v>0</v>
      </c>
      <c r="U93" s="88">
        <f t="shared" si="501"/>
        <v>0</v>
      </c>
      <c r="V93" s="88">
        <f t="shared" si="501"/>
        <v>2325.0700000000002</v>
      </c>
      <c r="W93" s="88">
        <f t="shared" si="501"/>
        <v>206.54</v>
      </c>
      <c r="X93" s="88">
        <f t="shared" si="501"/>
        <v>-675.07</v>
      </c>
      <c r="Y93" s="88">
        <f t="shared" si="501"/>
        <v>-106.53999999999999</v>
      </c>
      <c r="Z93" s="88">
        <f t="shared" si="501"/>
        <v>2396.1999999999998</v>
      </c>
      <c r="AA93" s="88">
        <f t="shared" si="501"/>
        <v>0</v>
      </c>
      <c r="AB93" s="22">
        <f t="shared" si="312"/>
        <v>2396.1999999999998</v>
      </c>
      <c r="AC93" s="109">
        <f t="shared" si="313"/>
        <v>0</v>
      </c>
      <c r="AD93" s="22">
        <f t="shared" ref="AD93:CP93" si="502">+AD91+AD92</f>
        <v>2396.1999999999998</v>
      </c>
      <c r="AE93" s="22">
        <f t="shared" si="502"/>
        <v>100</v>
      </c>
      <c r="AF93" s="22">
        <f t="shared" si="502"/>
        <v>90.22</v>
      </c>
      <c r="AG93" s="22">
        <f t="shared" si="502"/>
        <v>399</v>
      </c>
      <c r="AH93" s="22">
        <f t="shared" si="502"/>
        <v>25</v>
      </c>
      <c r="AI93" s="118">
        <f t="shared" si="502"/>
        <v>133</v>
      </c>
      <c r="AJ93" s="22">
        <f t="shared" si="502"/>
        <v>8</v>
      </c>
      <c r="AK93" s="22">
        <f t="shared" si="502"/>
        <v>200</v>
      </c>
      <c r="AL93" s="22">
        <f t="shared" si="502"/>
        <v>0</v>
      </c>
      <c r="AM93" s="22">
        <f t="shared" si="502"/>
        <v>599.04999999999995</v>
      </c>
      <c r="AN93" s="22">
        <f t="shared" si="502"/>
        <v>24.35</v>
      </c>
      <c r="AO93" s="22">
        <f t="shared" si="502"/>
        <v>0</v>
      </c>
      <c r="AP93" s="22">
        <f t="shared" si="502"/>
        <v>0</v>
      </c>
      <c r="AQ93" s="22">
        <f t="shared" si="502"/>
        <v>1198.05</v>
      </c>
      <c r="AR93" s="22">
        <f t="shared" si="502"/>
        <v>49.35</v>
      </c>
      <c r="AS93" s="22">
        <f t="shared" si="502"/>
        <v>0</v>
      </c>
      <c r="AT93" s="22">
        <f t="shared" si="502"/>
        <v>0</v>
      </c>
      <c r="AU93" s="22">
        <f t="shared" si="502"/>
        <v>599.04999999999995</v>
      </c>
      <c r="AV93" s="22">
        <f t="shared" si="502"/>
        <v>25</v>
      </c>
      <c r="AW93" s="22">
        <f t="shared" si="502"/>
        <v>0</v>
      </c>
      <c r="AX93" s="22">
        <f t="shared" si="502"/>
        <v>0</v>
      </c>
      <c r="AY93" s="22">
        <f t="shared" si="502"/>
        <v>1930.1</v>
      </c>
      <c r="AZ93" s="22">
        <f t="shared" si="502"/>
        <v>82.35</v>
      </c>
      <c r="BA93" s="22">
        <f t="shared" si="502"/>
        <v>2012.4499999999998</v>
      </c>
      <c r="BB93" s="22">
        <f t="shared" si="502"/>
        <v>1816.96</v>
      </c>
      <c r="BC93" s="22">
        <f t="shared" si="502"/>
        <v>79.38</v>
      </c>
      <c r="BD93" s="22">
        <f t="shared" si="502"/>
        <v>113.13999999999987</v>
      </c>
      <c r="BE93" s="22">
        <f t="shared" si="502"/>
        <v>2.9699999999999989</v>
      </c>
      <c r="BF93" s="22">
        <f t="shared" si="502"/>
        <v>363.39</v>
      </c>
      <c r="BG93" s="118">
        <f t="shared" si="502"/>
        <v>15.88</v>
      </c>
      <c r="BH93" s="118">
        <f t="shared" si="502"/>
        <v>115.13</v>
      </c>
      <c r="BI93" s="118">
        <f t="shared" si="502"/>
        <v>6.46</v>
      </c>
      <c r="BJ93" s="118">
        <f t="shared" si="502"/>
        <v>0</v>
      </c>
      <c r="BK93" s="118">
        <f t="shared" si="502"/>
        <v>0</v>
      </c>
      <c r="BL93" s="118">
        <f t="shared" si="502"/>
        <v>2045.23</v>
      </c>
      <c r="BM93" s="118">
        <f t="shared" si="502"/>
        <v>88.809999999999988</v>
      </c>
      <c r="BN93" s="118">
        <f t="shared" si="502"/>
        <v>2134.04</v>
      </c>
      <c r="BO93" s="118">
        <f t="shared" si="502"/>
        <v>1935.41</v>
      </c>
      <c r="BP93" s="118">
        <f t="shared" si="502"/>
        <v>79.569999999999993</v>
      </c>
      <c r="BQ93" s="22">
        <f t="shared" si="502"/>
        <v>109.81999999999994</v>
      </c>
      <c r="BR93" s="22">
        <f t="shared" si="502"/>
        <v>9.2399999999999949</v>
      </c>
      <c r="BS93" s="22">
        <f t="shared" si="502"/>
        <v>175.95</v>
      </c>
      <c r="BT93" s="22">
        <f t="shared" si="502"/>
        <v>7.23</v>
      </c>
      <c r="BU93" s="22">
        <f t="shared" si="502"/>
        <v>66.13</v>
      </c>
      <c r="BV93" s="22">
        <f t="shared" si="502"/>
        <v>0</v>
      </c>
      <c r="BW93" s="22">
        <f t="shared" si="502"/>
        <v>30</v>
      </c>
      <c r="BX93" s="22">
        <f t="shared" si="502"/>
        <v>50</v>
      </c>
      <c r="BY93" s="22">
        <f t="shared" si="502"/>
        <v>0</v>
      </c>
      <c r="BZ93" s="22">
        <f t="shared" si="502"/>
        <v>0</v>
      </c>
      <c r="CA93" s="22">
        <f t="shared" si="502"/>
        <v>2141.3599999999997</v>
      </c>
      <c r="CB93" s="22">
        <f t="shared" si="502"/>
        <v>138.81</v>
      </c>
      <c r="CC93" s="22">
        <f t="shared" si="502"/>
        <v>2355.5</v>
      </c>
      <c r="CD93" s="118">
        <f t="shared" si="502"/>
        <v>159.63</v>
      </c>
      <c r="CE93" s="190">
        <f t="shared" si="502"/>
        <v>196</v>
      </c>
      <c r="CF93" s="190">
        <f t="shared" si="502"/>
        <v>13</v>
      </c>
      <c r="CG93" s="190">
        <f t="shared" si="502"/>
        <v>535.33999999999992</v>
      </c>
      <c r="CH93" s="190">
        <f t="shared" si="502"/>
        <v>34.700000000000003</v>
      </c>
      <c r="CI93" s="190">
        <f t="shared" si="502"/>
        <v>0</v>
      </c>
      <c r="CJ93" s="190">
        <f t="shared" si="502"/>
        <v>0</v>
      </c>
      <c r="CK93" s="190">
        <f t="shared" si="502"/>
        <v>565</v>
      </c>
      <c r="CL93" s="190">
        <f t="shared" si="502"/>
        <v>35</v>
      </c>
      <c r="CM93" s="190">
        <f t="shared" si="502"/>
        <v>0</v>
      </c>
      <c r="CN93" s="190">
        <f t="shared" si="502"/>
        <v>100</v>
      </c>
      <c r="CO93" s="190">
        <f t="shared" si="502"/>
        <v>2555</v>
      </c>
      <c r="CP93" s="190">
        <f t="shared" si="502"/>
        <v>386</v>
      </c>
      <c r="CQ93" s="190">
        <f t="shared" ref="CQ93:DP93" si="503">+CQ91+CQ92</f>
        <v>2260</v>
      </c>
      <c r="CR93" s="190">
        <f t="shared" si="503"/>
        <v>386</v>
      </c>
      <c r="CS93" s="190">
        <f t="shared" si="503"/>
        <v>2260</v>
      </c>
      <c r="CT93" s="190">
        <f t="shared" si="503"/>
        <v>386</v>
      </c>
      <c r="CU93" s="190">
        <f t="shared" si="503"/>
        <v>2260</v>
      </c>
      <c r="CV93" s="190">
        <f t="shared" si="503"/>
        <v>386</v>
      </c>
      <c r="CW93" s="190">
        <f t="shared" si="503"/>
        <v>565</v>
      </c>
      <c r="CX93" s="190">
        <f t="shared" si="503"/>
        <v>46.5</v>
      </c>
      <c r="CY93" s="190">
        <f t="shared" si="503"/>
        <v>0</v>
      </c>
      <c r="CZ93" s="190">
        <f t="shared" si="503"/>
        <v>0</v>
      </c>
      <c r="DA93" s="190">
        <f t="shared" si="503"/>
        <v>1326</v>
      </c>
      <c r="DB93" s="190">
        <f t="shared" si="503"/>
        <v>194.5</v>
      </c>
      <c r="DC93" s="190">
        <f t="shared" si="503"/>
        <v>1259.81</v>
      </c>
      <c r="DD93" s="190">
        <f t="shared" si="503"/>
        <v>180.28</v>
      </c>
      <c r="DE93" s="190">
        <f t="shared" si="503"/>
        <v>66.190000000000055</v>
      </c>
      <c r="DF93" s="190">
        <f t="shared" si="503"/>
        <v>14.219999999999999</v>
      </c>
      <c r="DG93" s="190">
        <f t="shared" si="503"/>
        <v>503.75</v>
      </c>
      <c r="DH93" s="190">
        <f t="shared" si="503"/>
        <v>96.5</v>
      </c>
      <c r="DI93" s="190">
        <f t="shared" si="503"/>
        <v>437.55999999999995</v>
      </c>
      <c r="DJ93" s="190">
        <f t="shared" si="503"/>
        <v>82.28</v>
      </c>
      <c r="DK93" s="104">
        <f t="shared" si="165"/>
        <v>251.44000000000005</v>
      </c>
      <c r="DL93" s="104">
        <f t="shared" si="166"/>
        <v>109.22</v>
      </c>
      <c r="DM93" s="104">
        <f t="shared" si="333"/>
        <v>496.44000000000005</v>
      </c>
      <c r="DN93" s="104">
        <f t="shared" si="334"/>
        <v>109.22</v>
      </c>
      <c r="DO93" s="22">
        <f t="shared" si="503"/>
        <v>2015</v>
      </c>
      <c r="DP93" s="22">
        <f t="shared" si="503"/>
        <v>386</v>
      </c>
      <c r="DQ93" s="22">
        <f t="shared" ref="DQ93:DS93" si="504">+DQ91+DQ92</f>
        <v>2350</v>
      </c>
      <c r="DR93" s="22">
        <f t="shared" si="504"/>
        <v>150</v>
      </c>
      <c r="DS93" s="22">
        <f t="shared" si="504"/>
        <v>0</v>
      </c>
    </row>
    <row r="94" spans="1:128" ht="18.75">
      <c r="A94" s="18">
        <v>4</v>
      </c>
      <c r="B94" s="18" t="s">
        <v>143</v>
      </c>
      <c r="C94" s="19" t="s">
        <v>45</v>
      </c>
      <c r="D94" s="20" t="s">
        <v>144</v>
      </c>
      <c r="E94" s="21" t="s">
        <v>145</v>
      </c>
      <c r="F94" s="81">
        <v>1639.32</v>
      </c>
      <c r="G94" s="81">
        <v>407.3</v>
      </c>
      <c r="H94" s="81">
        <v>1639.32</v>
      </c>
      <c r="I94" s="22">
        <v>407.3</v>
      </c>
      <c r="J94" s="88">
        <v>2124.9960000000001</v>
      </c>
      <c r="K94" s="88">
        <v>0</v>
      </c>
      <c r="L94" s="88">
        <v>0</v>
      </c>
      <c r="M94" s="88">
        <f t="shared" si="478"/>
        <v>2124.9960000000001</v>
      </c>
      <c r="N94" s="88">
        <v>0</v>
      </c>
      <c r="O94" s="88">
        <v>0</v>
      </c>
      <c r="P94" s="88">
        <v>0</v>
      </c>
      <c r="Q94" s="88">
        <f t="shared" ref="Q94:Q97" si="505">N94+O94+P94</f>
        <v>0</v>
      </c>
      <c r="R94" s="88">
        <f>+Q94+M94</f>
        <v>2124.9960000000001</v>
      </c>
      <c r="S94" s="88">
        <v>660</v>
      </c>
      <c r="V94" s="22">
        <f t="shared" ref="V94:V96" si="506">ROUND(H94*1.0583,2)</f>
        <v>1734.89</v>
      </c>
      <c r="W94" s="22">
        <f t="shared" ref="W94:W96" si="507">ROUND(I94*1.0327,2)</f>
        <v>420.62</v>
      </c>
      <c r="X94" s="22">
        <f t="shared" si="310"/>
        <v>390.10599999999999</v>
      </c>
      <c r="Y94" s="22">
        <f t="shared" si="311"/>
        <v>239.38</v>
      </c>
      <c r="Z94" s="22">
        <v>1734.89</v>
      </c>
      <c r="AA94" s="22"/>
      <c r="AB94" s="22">
        <f t="shared" si="312"/>
        <v>1734.89</v>
      </c>
      <c r="AC94" s="109">
        <f t="shared" si="313"/>
        <v>0</v>
      </c>
      <c r="AD94" s="22">
        <f t="shared" ref="AD94:AD96" si="508">IF(X94&gt;0,V94,R94)</f>
        <v>1734.89</v>
      </c>
      <c r="AE94" s="22">
        <f t="shared" ref="AE94:AE96" si="509">IF(Y94&gt;0,W94,S94)</f>
        <v>420.62</v>
      </c>
      <c r="AF94" s="22">
        <f t="shared" si="314"/>
        <v>595.45000000000005</v>
      </c>
      <c r="AG94" s="108">
        <f t="shared" si="315"/>
        <v>434</v>
      </c>
      <c r="AH94" s="108">
        <f t="shared" si="316"/>
        <v>105</v>
      </c>
      <c r="AI94" s="127">
        <f t="shared" si="317"/>
        <v>145</v>
      </c>
      <c r="AJ94" s="108">
        <f t="shared" si="318"/>
        <v>35</v>
      </c>
      <c r="AM94" s="108">
        <f t="shared" si="319"/>
        <v>433.72</v>
      </c>
      <c r="AN94" s="108">
        <f t="shared" si="320"/>
        <v>102.42</v>
      </c>
      <c r="AQ94" s="108">
        <f t="shared" si="321"/>
        <v>867.72</v>
      </c>
      <c r="AR94" s="108">
        <f t="shared" si="322"/>
        <v>207.42000000000002</v>
      </c>
      <c r="AS94" s="116"/>
      <c r="AT94" s="116">
        <v>50</v>
      </c>
      <c r="AU94" s="116">
        <f t="shared" si="497"/>
        <v>433.72</v>
      </c>
      <c r="AV94" s="116">
        <f t="shared" si="184"/>
        <v>105.16</v>
      </c>
      <c r="AW94" s="116"/>
      <c r="AX94" s="143">
        <f>150+70</f>
        <v>220</v>
      </c>
      <c r="AY94" s="108">
        <f t="shared" si="303"/>
        <v>1446.44</v>
      </c>
      <c r="AZ94" s="108">
        <f t="shared" si="304"/>
        <v>617.58000000000004</v>
      </c>
      <c r="BA94" s="108">
        <f t="shared" si="305"/>
        <v>2064.02</v>
      </c>
      <c r="BB94" s="139">
        <v>1385.79</v>
      </c>
      <c r="BC94" s="139">
        <v>589.89</v>
      </c>
      <c r="BD94" s="139">
        <f t="shared" si="306"/>
        <v>60.650000000000091</v>
      </c>
      <c r="BE94" s="139">
        <f t="shared" si="307"/>
        <v>27.690000000000055</v>
      </c>
      <c r="BF94" s="139">
        <f t="shared" si="308"/>
        <v>277.16000000000003</v>
      </c>
      <c r="BG94" s="139">
        <f t="shared" si="309"/>
        <v>117.98</v>
      </c>
      <c r="BH94" s="108">
        <v>108.26</v>
      </c>
      <c r="BI94" s="108">
        <v>0</v>
      </c>
      <c r="BL94" s="108">
        <f t="shared" si="332"/>
        <v>1554.7</v>
      </c>
      <c r="BM94" s="108">
        <f t="shared" si="335"/>
        <v>617.58000000000004</v>
      </c>
      <c r="BN94" s="108">
        <f t="shared" si="336"/>
        <v>2172.2800000000002</v>
      </c>
      <c r="BO94" s="108">
        <v>1531.62</v>
      </c>
      <c r="BP94" s="127">
        <v>615.53</v>
      </c>
      <c r="BQ94" s="108">
        <f t="shared" si="337"/>
        <v>23.080000000000155</v>
      </c>
      <c r="BR94" s="108">
        <f t="shared" si="338"/>
        <v>2.0500000000000682</v>
      </c>
      <c r="BS94" s="108">
        <f t="shared" si="339"/>
        <v>139.24</v>
      </c>
      <c r="BT94" s="108">
        <f t="shared" si="340"/>
        <v>55.96</v>
      </c>
      <c r="BU94" s="108">
        <f t="shared" si="364"/>
        <v>116.15999999999985</v>
      </c>
      <c r="BV94" s="108">
        <f t="shared" ref="BV94:BV106" si="510">ROUND(BT94-BR94,2)</f>
        <v>53.91</v>
      </c>
      <c r="BX94" s="108">
        <v>51.49</v>
      </c>
      <c r="CA94" s="108">
        <v>1670.86</v>
      </c>
      <c r="CB94" s="108">
        <v>722.98</v>
      </c>
      <c r="CC94">
        <v>1837.95</v>
      </c>
      <c r="CD94">
        <v>831.43</v>
      </c>
      <c r="CE94" s="189">
        <v>153</v>
      </c>
      <c r="CF94" s="189">
        <v>69</v>
      </c>
      <c r="CG94" s="189">
        <f t="shared" si="341"/>
        <v>417.72</v>
      </c>
      <c r="CH94" s="189">
        <f t="shared" si="342"/>
        <v>180.75</v>
      </c>
      <c r="CI94" s="150"/>
      <c r="CJ94" s="150"/>
      <c r="CK94" s="150">
        <v>405</v>
      </c>
      <c r="CL94" s="150">
        <v>110</v>
      </c>
      <c r="CM94" s="150">
        <v>5</v>
      </c>
      <c r="CN94" s="150">
        <v>5</v>
      </c>
      <c r="CO94" s="150">
        <v>1900</v>
      </c>
      <c r="CP94" s="150">
        <v>500</v>
      </c>
      <c r="CQ94" s="150">
        <f t="shared" si="343"/>
        <v>1620</v>
      </c>
      <c r="CR94" s="150">
        <f t="shared" si="344"/>
        <v>440</v>
      </c>
      <c r="CS94" s="150">
        <f t="shared" si="345"/>
        <v>1620</v>
      </c>
      <c r="CT94" s="150">
        <f t="shared" si="346"/>
        <v>440</v>
      </c>
      <c r="CU94" s="150">
        <f t="shared" ref="CU94:CU95" si="511">IF(CQ94&lt;CS94,CQ94,CS94)</f>
        <v>1620</v>
      </c>
      <c r="CV94" s="150">
        <f t="shared" ref="CV94:CV95" si="512">IF(CR94&lt;CT94,CR94,CT94)</f>
        <v>440</v>
      </c>
      <c r="CW94" s="150">
        <f t="shared" si="349"/>
        <v>405</v>
      </c>
      <c r="CX94" s="150">
        <f t="shared" si="366"/>
        <v>110</v>
      </c>
      <c r="CY94" s="150"/>
      <c r="CZ94" s="150">
        <v>70</v>
      </c>
      <c r="DA94" s="150">
        <f t="shared" si="350"/>
        <v>968</v>
      </c>
      <c r="DB94" s="150">
        <f t="shared" si="351"/>
        <v>364</v>
      </c>
      <c r="DC94" s="150">
        <v>959.19</v>
      </c>
      <c r="DD94" s="150">
        <v>350.83</v>
      </c>
      <c r="DE94" s="150">
        <f t="shared" si="352"/>
        <v>8.8099999999999454</v>
      </c>
      <c r="DF94" s="150">
        <f t="shared" si="353"/>
        <v>13.170000000000016</v>
      </c>
      <c r="DG94" s="150">
        <f t="shared" ref="DG94:DH97" si="513">ROUND(0.25*(MIN(CU94,DO94)),2)</f>
        <v>405</v>
      </c>
      <c r="DH94" s="150">
        <f t="shared" si="513"/>
        <v>110</v>
      </c>
      <c r="DI94" s="150">
        <f t="shared" si="354"/>
        <v>396.19000000000005</v>
      </c>
      <c r="DJ94" s="150">
        <f>+DH94-DF94-20.83</f>
        <v>75.999999999999986</v>
      </c>
      <c r="DK94" s="104">
        <f t="shared" si="165"/>
        <v>335.80999999999995</v>
      </c>
      <c r="DL94" s="104">
        <f t="shared" si="166"/>
        <v>124.00000000000001</v>
      </c>
      <c r="DM94" s="104">
        <f t="shared" si="333"/>
        <v>255.80999999999995</v>
      </c>
      <c r="DN94" s="104">
        <f t="shared" si="334"/>
        <v>0</v>
      </c>
      <c r="DO94" s="104">
        <v>1700</v>
      </c>
      <c r="DP94" s="104">
        <v>564</v>
      </c>
      <c r="DQ94" s="104">
        <v>1925</v>
      </c>
      <c r="DR94" s="104">
        <v>670</v>
      </c>
    </row>
    <row r="95" spans="1:128" ht="18.75">
      <c r="A95" s="18">
        <v>5</v>
      </c>
      <c r="B95" s="18" t="s">
        <v>146</v>
      </c>
      <c r="C95" s="19" t="s">
        <v>147</v>
      </c>
      <c r="D95" s="20" t="s">
        <v>148</v>
      </c>
      <c r="E95" s="21" t="s">
        <v>149</v>
      </c>
      <c r="F95" s="81">
        <v>465.8</v>
      </c>
      <c r="G95" s="81">
        <v>8.7099999999999991</v>
      </c>
      <c r="H95" s="81">
        <v>465.8</v>
      </c>
      <c r="I95" s="22">
        <v>8.7099999999999991</v>
      </c>
      <c r="J95" s="88">
        <v>650</v>
      </c>
      <c r="K95" s="88">
        <v>0</v>
      </c>
      <c r="L95" s="88">
        <v>0</v>
      </c>
      <c r="M95" s="88">
        <f t="shared" si="478"/>
        <v>650</v>
      </c>
      <c r="N95" s="88">
        <v>0</v>
      </c>
      <c r="O95" s="88">
        <v>0</v>
      </c>
      <c r="P95" s="88">
        <v>0</v>
      </c>
      <c r="Q95" s="88">
        <f t="shared" si="505"/>
        <v>0</v>
      </c>
      <c r="R95" s="88">
        <f>+Q95+M95</f>
        <v>650</v>
      </c>
      <c r="S95" s="88">
        <v>70</v>
      </c>
      <c r="V95" s="22">
        <f t="shared" si="506"/>
        <v>492.96</v>
      </c>
      <c r="W95" s="22">
        <f t="shared" si="507"/>
        <v>8.99</v>
      </c>
      <c r="X95" s="22">
        <f t="shared" si="310"/>
        <v>157.04000000000002</v>
      </c>
      <c r="Y95" s="22">
        <f t="shared" si="311"/>
        <v>61.01</v>
      </c>
      <c r="Z95" s="22">
        <v>492.96</v>
      </c>
      <c r="AA95" s="22"/>
      <c r="AB95" s="22">
        <f t="shared" si="312"/>
        <v>492.96</v>
      </c>
      <c r="AC95" s="109">
        <f t="shared" si="313"/>
        <v>0</v>
      </c>
      <c r="AD95" s="22">
        <f t="shared" si="508"/>
        <v>492.96</v>
      </c>
      <c r="AE95" s="22">
        <f>IF(Y95&gt;0,W95,S95)+75.2</f>
        <v>84.19</v>
      </c>
      <c r="AF95" s="22">
        <f t="shared" si="314"/>
        <v>63.15</v>
      </c>
      <c r="AG95" s="108">
        <f t="shared" si="315"/>
        <v>123</v>
      </c>
      <c r="AH95" s="108">
        <f>ROUND(AE95/4,0)-19+80</f>
        <v>82</v>
      </c>
      <c r="AI95" s="127">
        <f t="shared" si="317"/>
        <v>41</v>
      </c>
      <c r="AJ95" s="108">
        <f>ROUND(AE95/12,0)-6</f>
        <v>1</v>
      </c>
      <c r="AM95" s="108">
        <f t="shared" si="319"/>
        <v>123.24</v>
      </c>
      <c r="AN95" s="108">
        <f>ROUND(AE95*24.35%,2)-18.31</f>
        <v>2.1900000000000013</v>
      </c>
      <c r="AQ95" s="108">
        <f t="shared" si="321"/>
        <v>246.24</v>
      </c>
      <c r="AR95" s="108">
        <f t="shared" si="322"/>
        <v>84.19</v>
      </c>
      <c r="AS95" s="116"/>
      <c r="AT95" s="116"/>
      <c r="AU95" s="116">
        <f t="shared" si="497"/>
        <v>123.24</v>
      </c>
      <c r="AV95" s="116">
        <f>ROUND(AE95*25%,2)+4.25</f>
        <v>25.3</v>
      </c>
      <c r="AW95" s="116"/>
      <c r="AX95" s="143">
        <v>31.44</v>
      </c>
      <c r="AY95" s="108">
        <f t="shared" si="303"/>
        <v>410.48</v>
      </c>
      <c r="AZ95" s="108">
        <f t="shared" si="304"/>
        <v>141.93</v>
      </c>
      <c r="BA95" s="108">
        <f t="shared" si="305"/>
        <v>552.41000000000008</v>
      </c>
      <c r="BB95" s="139">
        <v>405.67</v>
      </c>
      <c r="BC95" s="139">
        <v>134.16</v>
      </c>
      <c r="BD95" s="139">
        <f t="shared" si="306"/>
        <v>4.8100000000000023</v>
      </c>
      <c r="BE95" s="139">
        <f t="shared" si="307"/>
        <v>7.7700000000000102</v>
      </c>
      <c r="BF95" s="139">
        <f t="shared" si="308"/>
        <v>81.13</v>
      </c>
      <c r="BG95" s="139">
        <f t="shared" si="309"/>
        <v>26.83</v>
      </c>
      <c r="BH95" s="108">
        <v>38.159999999999997</v>
      </c>
      <c r="BI95" s="143">
        <v>0</v>
      </c>
      <c r="BJ95" s="143"/>
      <c r="BK95" s="143"/>
      <c r="BL95" s="108">
        <f t="shared" si="332"/>
        <v>448.64</v>
      </c>
      <c r="BM95" s="108">
        <f t="shared" si="335"/>
        <v>141.93</v>
      </c>
      <c r="BN95" s="108">
        <f t="shared" si="336"/>
        <v>590.56999999999994</v>
      </c>
      <c r="BO95" s="108">
        <v>444.51</v>
      </c>
      <c r="BP95" s="127">
        <v>144.97</v>
      </c>
      <c r="BQ95" s="108">
        <f t="shared" si="337"/>
        <v>4.1299999999999955</v>
      </c>
      <c r="BR95" s="108">
        <f t="shared" si="338"/>
        <v>-3.039999999999992</v>
      </c>
      <c r="BS95" s="108">
        <f t="shared" si="339"/>
        <v>40.409999999999997</v>
      </c>
      <c r="BT95" s="108">
        <f t="shared" si="340"/>
        <v>13.18</v>
      </c>
      <c r="BU95" s="108">
        <f t="shared" si="364"/>
        <v>36.28</v>
      </c>
      <c r="BV95" s="108">
        <f t="shared" si="510"/>
        <v>16.22</v>
      </c>
      <c r="BX95" s="108">
        <v>3.3</v>
      </c>
      <c r="CA95" s="108">
        <v>484.91999999999996</v>
      </c>
      <c r="CB95" s="108">
        <v>161.45000000000002</v>
      </c>
      <c r="CC95">
        <v>533.41</v>
      </c>
      <c r="CD95">
        <v>185.67</v>
      </c>
      <c r="CE95" s="189">
        <v>44</v>
      </c>
      <c r="CF95" s="189">
        <v>7</v>
      </c>
      <c r="CG95" s="189">
        <f t="shared" si="341"/>
        <v>121.23</v>
      </c>
      <c r="CH95" s="189">
        <f t="shared" si="342"/>
        <v>40.36</v>
      </c>
      <c r="CI95" s="150"/>
      <c r="CJ95" s="150"/>
      <c r="CK95" s="150">
        <v>120</v>
      </c>
      <c r="CL95" s="150">
        <v>0</v>
      </c>
      <c r="CM95" s="150"/>
      <c r="CN95" s="150"/>
      <c r="CO95" s="150">
        <v>600</v>
      </c>
      <c r="CP95" s="150">
        <v>7</v>
      </c>
      <c r="CQ95" s="150">
        <f t="shared" si="343"/>
        <v>480</v>
      </c>
      <c r="CR95" s="150">
        <f>ROUND(CL95/3*12,2)+7</f>
        <v>7</v>
      </c>
      <c r="CS95" s="150">
        <f t="shared" si="345"/>
        <v>480</v>
      </c>
      <c r="CT95" s="150">
        <f t="shared" si="346"/>
        <v>7</v>
      </c>
      <c r="CU95" s="150">
        <f t="shared" si="511"/>
        <v>480</v>
      </c>
      <c r="CV95" s="150">
        <f t="shared" si="512"/>
        <v>7</v>
      </c>
      <c r="CW95" s="150">
        <f t="shared" si="349"/>
        <v>120</v>
      </c>
      <c r="CX95" s="150">
        <f>ROUND(CV95*25%,2)-1.75</f>
        <v>0</v>
      </c>
      <c r="CY95" s="150"/>
      <c r="CZ95" s="150"/>
      <c r="DA95" s="150">
        <f t="shared" si="350"/>
        <v>284</v>
      </c>
      <c r="DB95" s="150">
        <f t="shared" si="351"/>
        <v>7</v>
      </c>
      <c r="DC95" s="150">
        <v>253.51</v>
      </c>
      <c r="DD95" s="150">
        <v>5.12</v>
      </c>
      <c r="DE95" s="150">
        <f t="shared" si="352"/>
        <v>30.490000000000009</v>
      </c>
      <c r="DF95" s="150">
        <f t="shared" si="353"/>
        <v>1.88</v>
      </c>
      <c r="DG95" s="150">
        <f t="shared" si="513"/>
        <v>120</v>
      </c>
      <c r="DH95" s="150">
        <f t="shared" si="513"/>
        <v>1.75</v>
      </c>
      <c r="DI95" s="150">
        <f t="shared" si="354"/>
        <v>89.509999999999991</v>
      </c>
      <c r="DJ95" s="150">
        <f>+DH95-DF95+0.13</f>
        <v>0</v>
      </c>
      <c r="DK95" s="104">
        <f t="shared" si="165"/>
        <v>126.49000000000001</v>
      </c>
      <c r="DL95" s="104">
        <f t="shared" si="166"/>
        <v>1.4800000000000004</v>
      </c>
      <c r="DM95" s="104">
        <f t="shared" si="333"/>
        <v>106.49000000000001</v>
      </c>
      <c r="DN95" s="104">
        <f t="shared" si="334"/>
        <v>0</v>
      </c>
      <c r="DO95" s="104">
        <v>500</v>
      </c>
      <c r="DP95" s="104">
        <v>8.48</v>
      </c>
      <c r="DQ95" s="104">
        <v>650</v>
      </c>
      <c r="DR95" s="104">
        <v>7.5</v>
      </c>
    </row>
    <row r="96" spans="1:128" ht="18.75">
      <c r="A96" s="13">
        <v>6</v>
      </c>
      <c r="B96" s="13"/>
      <c r="C96" s="14"/>
      <c r="D96" s="15" t="s">
        <v>150</v>
      </c>
      <c r="E96" s="16"/>
      <c r="F96" s="81">
        <v>2921.78</v>
      </c>
      <c r="G96" s="81">
        <v>2955.42</v>
      </c>
      <c r="H96" s="81">
        <v>2921.78</v>
      </c>
      <c r="I96" s="17">
        <v>2955.42</v>
      </c>
      <c r="J96" s="86">
        <v>3400</v>
      </c>
      <c r="K96" s="87">
        <v>0</v>
      </c>
      <c r="L96" s="87">
        <v>0</v>
      </c>
      <c r="M96" s="87">
        <f t="shared" si="478"/>
        <v>3400</v>
      </c>
      <c r="N96" s="87">
        <v>0</v>
      </c>
      <c r="O96" s="87">
        <v>0</v>
      </c>
      <c r="P96" s="87">
        <v>0</v>
      </c>
      <c r="Q96" s="87">
        <f t="shared" si="505"/>
        <v>0</v>
      </c>
      <c r="R96" s="87">
        <f t="shared" ref="R96:R112" si="514">Q96+M96</f>
        <v>3400</v>
      </c>
      <c r="S96" s="87">
        <v>3500</v>
      </c>
      <c r="V96" s="17">
        <f t="shared" si="506"/>
        <v>3092.12</v>
      </c>
      <c r="W96" s="17">
        <f t="shared" si="507"/>
        <v>3052.06</v>
      </c>
      <c r="X96" s="108">
        <f t="shared" si="310"/>
        <v>307.88000000000011</v>
      </c>
      <c r="Y96" s="108">
        <f t="shared" si="311"/>
        <v>447.94000000000005</v>
      </c>
      <c r="Z96" s="108">
        <v>3092.12</v>
      </c>
      <c r="AA96" s="108"/>
      <c r="AB96" s="108">
        <f t="shared" si="312"/>
        <v>3092.12</v>
      </c>
      <c r="AC96" s="109">
        <f t="shared" si="313"/>
        <v>0</v>
      </c>
      <c r="AD96" s="108">
        <f t="shared" si="508"/>
        <v>3092.12</v>
      </c>
      <c r="AE96" s="108">
        <f t="shared" si="509"/>
        <v>3052.06</v>
      </c>
      <c r="AF96" s="108">
        <f t="shared" si="314"/>
        <v>3157.7</v>
      </c>
      <c r="AG96" s="108">
        <f t="shared" si="315"/>
        <v>773</v>
      </c>
      <c r="AH96" s="108">
        <f t="shared" si="316"/>
        <v>763</v>
      </c>
      <c r="AI96" s="127">
        <f t="shared" si="317"/>
        <v>258</v>
      </c>
      <c r="AJ96" s="108">
        <f t="shared" si="318"/>
        <v>254</v>
      </c>
      <c r="AM96" s="108">
        <f t="shared" si="319"/>
        <v>773.03</v>
      </c>
      <c r="AN96" s="108">
        <f t="shared" si="320"/>
        <v>743.18</v>
      </c>
      <c r="AQ96" s="108">
        <f t="shared" si="321"/>
        <v>1546.03</v>
      </c>
      <c r="AR96" s="108">
        <f t="shared" si="322"/>
        <v>1506.1799999999998</v>
      </c>
      <c r="AS96" s="116"/>
      <c r="AT96" s="116"/>
      <c r="AU96" s="116">
        <f t="shared" si="497"/>
        <v>773.03</v>
      </c>
      <c r="AV96" s="116">
        <f t="shared" si="184"/>
        <v>763.02</v>
      </c>
      <c r="AW96" s="116"/>
      <c r="AX96" s="143">
        <v>438.97</v>
      </c>
      <c r="AY96" s="108">
        <f t="shared" si="303"/>
        <v>2577.06</v>
      </c>
      <c r="AZ96" s="108">
        <f t="shared" si="304"/>
        <v>2962.17</v>
      </c>
      <c r="BA96" s="108">
        <f t="shared" si="305"/>
        <v>5539.23</v>
      </c>
      <c r="BB96" s="139">
        <v>2457.75</v>
      </c>
      <c r="BC96" s="139">
        <v>2738.5</v>
      </c>
      <c r="BD96" s="139">
        <f t="shared" si="306"/>
        <v>119.30999999999995</v>
      </c>
      <c r="BE96" s="139">
        <f t="shared" si="307"/>
        <v>223.67000000000007</v>
      </c>
      <c r="BF96" s="139">
        <f t="shared" si="308"/>
        <v>491.55</v>
      </c>
      <c r="BG96" s="139">
        <f t="shared" si="309"/>
        <v>547.70000000000005</v>
      </c>
      <c r="BH96" s="108">
        <v>186.12</v>
      </c>
      <c r="BI96" s="108">
        <v>162.02000000000001</v>
      </c>
      <c r="BL96" s="108">
        <f t="shared" si="332"/>
        <v>2763.18</v>
      </c>
      <c r="BM96" s="108">
        <f t="shared" si="335"/>
        <v>3124.19</v>
      </c>
      <c r="BN96" s="108">
        <f t="shared" si="336"/>
        <v>5887.37</v>
      </c>
      <c r="BO96" s="108">
        <v>2703.8</v>
      </c>
      <c r="BP96" s="127">
        <v>2778.95</v>
      </c>
      <c r="BQ96" s="108">
        <f t="shared" si="337"/>
        <v>59.379999999999654</v>
      </c>
      <c r="BR96" s="108">
        <f t="shared" si="338"/>
        <v>345.24000000000024</v>
      </c>
      <c r="BS96" s="108">
        <f t="shared" si="339"/>
        <v>245.8</v>
      </c>
      <c r="BT96" s="108">
        <f t="shared" si="340"/>
        <v>252.63</v>
      </c>
      <c r="BU96" s="108">
        <f t="shared" si="364"/>
        <v>186.42000000000036</v>
      </c>
      <c r="BV96" s="108">
        <v>0</v>
      </c>
      <c r="BW96" s="109">
        <v>53.58</v>
      </c>
      <c r="BX96" s="108">
        <v>300</v>
      </c>
      <c r="CA96" s="108">
        <v>3003.1800000000003</v>
      </c>
      <c r="CB96" s="108">
        <v>3424.19</v>
      </c>
      <c r="CC96">
        <v>3303.5</v>
      </c>
      <c r="CD96">
        <v>3937.82</v>
      </c>
      <c r="CE96" s="189">
        <v>275</v>
      </c>
      <c r="CF96" s="189">
        <v>328</v>
      </c>
      <c r="CG96" s="189">
        <f t="shared" si="341"/>
        <v>750.8</v>
      </c>
      <c r="CH96" s="189">
        <f t="shared" si="342"/>
        <v>856.05</v>
      </c>
      <c r="CI96" s="150"/>
      <c r="CJ96" s="150"/>
      <c r="CK96" s="150">
        <v>710</v>
      </c>
      <c r="CL96" s="150">
        <f>1162-162-100</f>
        <v>900</v>
      </c>
      <c r="CM96" s="150"/>
      <c r="CN96" s="150"/>
      <c r="CO96" s="150">
        <v>3516</v>
      </c>
      <c r="CP96" s="150">
        <v>3580</v>
      </c>
      <c r="CQ96" s="150">
        <f t="shared" si="343"/>
        <v>2840</v>
      </c>
      <c r="CR96" s="150">
        <f t="shared" si="344"/>
        <v>3600</v>
      </c>
      <c r="CS96" s="150">
        <f t="shared" si="345"/>
        <v>2840</v>
      </c>
      <c r="CT96" s="150">
        <f t="shared" si="346"/>
        <v>3580</v>
      </c>
      <c r="CU96" s="150">
        <f>IF(CQ96&lt;CS96,CQ96,CS96)+560</f>
        <v>3400</v>
      </c>
      <c r="CV96" s="150">
        <f>IF(CR96&lt;CT96,CR96,CT96)+435</f>
        <v>4015</v>
      </c>
      <c r="CW96" s="150">
        <v>710</v>
      </c>
      <c r="CX96" s="150">
        <v>895</v>
      </c>
      <c r="CY96" s="150">
        <v>235</v>
      </c>
      <c r="CZ96" s="150">
        <v>300</v>
      </c>
      <c r="DA96" s="150">
        <f t="shared" si="350"/>
        <v>1930</v>
      </c>
      <c r="DB96" s="150">
        <f t="shared" si="351"/>
        <v>2423</v>
      </c>
      <c r="DC96" s="150">
        <v>1709.46</v>
      </c>
      <c r="DD96" s="150">
        <v>2208.04</v>
      </c>
      <c r="DE96" s="150">
        <f t="shared" si="352"/>
        <v>220.53999999999996</v>
      </c>
      <c r="DF96" s="150">
        <f t="shared" si="353"/>
        <v>214.96000000000004</v>
      </c>
      <c r="DG96" s="150">
        <f t="shared" si="513"/>
        <v>850</v>
      </c>
      <c r="DH96" s="150">
        <f t="shared" si="513"/>
        <v>1003.75</v>
      </c>
      <c r="DI96" s="150">
        <f t="shared" si="354"/>
        <v>629.46</v>
      </c>
      <c r="DJ96" s="150">
        <f>+DH96-DF96</f>
        <v>788.79</v>
      </c>
      <c r="DK96" s="104">
        <f t="shared" si="165"/>
        <v>840.54</v>
      </c>
      <c r="DL96" s="104">
        <f t="shared" si="166"/>
        <v>803.21</v>
      </c>
      <c r="DM96" s="104">
        <f t="shared" si="333"/>
        <v>840.54</v>
      </c>
      <c r="DN96" s="104">
        <f t="shared" si="334"/>
        <v>803.21</v>
      </c>
      <c r="DO96" s="104">
        <v>3400</v>
      </c>
      <c r="DP96" s="104">
        <v>4015</v>
      </c>
      <c r="DQ96" s="104">
        <v>4000</v>
      </c>
      <c r="DR96" s="104">
        <v>5000</v>
      </c>
    </row>
    <row r="97" spans="1:130" ht="18.75">
      <c r="A97" s="13">
        <v>7</v>
      </c>
      <c r="B97" s="13"/>
      <c r="C97" s="14"/>
      <c r="D97" s="15" t="s">
        <v>151</v>
      </c>
      <c r="E97" s="16"/>
      <c r="F97" s="81">
        <v>379.03999999999996</v>
      </c>
      <c r="G97" s="81">
        <v>0</v>
      </c>
      <c r="H97" s="81">
        <v>420.03999999999996</v>
      </c>
      <c r="I97" s="17">
        <v>0</v>
      </c>
      <c r="J97" s="86">
        <v>497.08</v>
      </c>
      <c r="K97" s="87">
        <v>0</v>
      </c>
      <c r="L97" s="87">
        <v>0</v>
      </c>
      <c r="M97" s="87">
        <f t="shared" si="478"/>
        <v>497.08</v>
      </c>
      <c r="N97" s="87">
        <v>0</v>
      </c>
      <c r="O97" s="87">
        <v>0</v>
      </c>
      <c r="P97" s="87">
        <v>0</v>
      </c>
      <c r="Q97" s="87">
        <f t="shared" si="505"/>
        <v>0</v>
      </c>
      <c r="R97" s="87">
        <f t="shared" si="514"/>
        <v>497.08</v>
      </c>
      <c r="S97" s="87">
        <v>0</v>
      </c>
      <c r="V97" s="17">
        <f t="shared" ref="V97" si="515">ROUND(H97*1.0583,2)</f>
        <v>444.53</v>
      </c>
      <c r="W97" s="17">
        <f t="shared" ref="W97" si="516">ROUND(I97*1.0327,2)</f>
        <v>0</v>
      </c>
      <c r="X97" s="108">
        <f t="shared" si="310"/>
        <v>52.550000000000011</v>
      </c>
      <c r="Y97" s="108">
        <f t="shared" si="311"/>
        <v>0</v>
      </c>
      <c r="Z97" s="108">
        <v>444.53</v>
      </c>
      <c r="AA97" s="108"/>
      <c r="AB97" s="108">
        <f t="shared" si="312"/>
        <v>444.53</v>
      </c>
      <c r="AC97" s="109">
        <f t="shared" si="313"/>
        <v>0</v>
      </c>
      <c r="AD97" s="108">
        <f t="shared" ref="AD97" si="517">IF(X97&gt;0,V97,R97)</f>
        <v>444.53</v>
      </c>
      <c r="AE97" s="108">
        <f t="shared" ref="AE97" si="518">IF(Y97&gt;0,W97,S97)</f>
        <v>0</v>
      </c>
      <c r="AF97" s="108">
        <f t="shared" si="314"/>
        <v>0</v>
      </c>
      <c r="AG97" s="108">
        <f t="shared" si="315"/>
        <v>111</v>
      </c>
      <c r="AH97" s="108">
        <f t="shared" si="316"/>
        <v>0</v>
      </c>
      <c r="AI97" s="127">
        <f t="shared" si="317"/>
        <v>37</v>
      </c>
      <c r="AJ97" s="108">
        <f t="shared" si="318"/>
        <v>0</v>
      </c>
      <c r="AM97" s="108">
        <f t="shared" si="319"/>
        <v>111.13</v>
      </c>
      <c r="AN97" s="108">
        <f t="shared" si="320"/>
        <v>0</v>
      </c>
      <c r="AQ97" s="108">
        <f t="shared" si="321"/>
        <v>222.13</v>
      </c>
      <c r="AR97" s="108">
        <f t="shared" si="322"/>
        <v>0</v>
      </c>
      <c r="AS97" s="116"/>
      <c r="AT97" s="116"/>
      <c r="AU97" s="116">
        <f t="shared" si="497"/>
        <v>111.13</v>
      </c>
      <c r="AV97" s="116">
        <f t="shared" si="184"/>
        <v>0</v>
      </c>
      <c r="AW97" s="116"/>
      <c r="AX97" s="116"/>
      <c r="AY97" s="108">
        <f t="shared" si="303"/>
        <v>370.26</v>
      </c>
      <c r="AZ97" s="108">
        <f t="shared" si="304"/>
        <v>0</v>
      </c>
      <c r="BA97" s="108">
        <f t="shared" si="305"/>
        <v>370.26</v>
      </c>
      <c r="BB97" s="139">
        <v>333.26</v>
      </c>
      <c r="BD97" s="139">
        <f t="shared" si="306"/>
        <v>37</v>
      </c>
      <c r="BE97" s="139">
        <f t="shared" si="307"/>
        <v>0</v>
      </c>
      <c r="BF97" s="139">
        <f t="shared" si="308"/>
        <v>66.650000000000006</v>
      </c>
      <c r="BG97" s="139">
        <f t="shared" si="309"/>
        <v>0</v>
      </c>
      <c r="BH97" s="108">
        <v>14.83</v>
      </c>
      <c r="BI97" s="108">
        <v>0</v>
      </c>
      <c r="BL97" s="108">
        <f t="shared" si="332"/>
        <v>385.09</v>
      </c>
      <c r="BM97" s="108">
        <f t="shared" si="335"/>
        <v>0</v>
      </c>
      <c r="BN97" s="108">
        <f t="shared" si="336"/>
        <v>385.09</v>
      </c>
      <c r="BO97" s="108">
        <v>370.26</v>
      </c>
      <c r="BP97" s="127"/>
      <c r="BQ97" s="108">
        <f t="shared" si="337"/>
        <v>14.829999999999984</v>
      </c>
      <c r="BR97" s="108">
        <f t="shared" si="338"/>
        <v>0</v>
      </c>
      <c r="BS97" s="108">
        <f t="shared" si="339"/>
        <v>33.659999999999997</v>
      </c>
      <c r="BT97" s="108">
        <f t="shared" si="340"/>
        <v>0</v>
      </c>
      <c r="BU97" s="108">
        <f t="shared" si="364"/>
        <v>18.830000000000013</v>
      </c>
      <c r="BV97" s="108">
        <f t="shared" si="510"/>
        <v>0</v>
      </c>
      <c r="BW97" s="109">
        <v>40.61</v>
      </c>
      <c r="CA97" s="108">
        <v>444.53</v>
      </c>
      <c r="CB97" s="108">
        <v>0</v>
      </c>
      <c r="CC97">
        <v>488.98</v>
      </c>
      <c r="CD97">
        <v>0</v>
      </c>
      <c r="CE97" s="189">
        <v>41</v>
      </c>
      <c r="CF97" s="189">
        <v>0</v>
      </c>
      <c r="CG97" s="189">
        <f t="shared" si="341"/>
        <v>111.13</v>
      </c>
      <c r="CH97" s="189">
        <f t="shared" si="342"/>
        <v>0</v>
      </c>
      <c r="CI97" s="150"/>
      <c r="CJ97" s="150"/>
      <c r="CK97" s="150">
        <f>142.75-20</f>
        <v>122.75</v>
      </c>
      <c r="CL97" s="150">
        <v>0</v>
      </c>
      <c r="CM97" s="150"/>
      <c r="CN97" s="150"/>
      <c r="CO97" s="150">
        <v>571.6</v>
      </c>
      <c r="CP97" s="150"/>
      <c r="CQ97" s="150">
        <f t="shared" si="343"/>
        <v>491</v>
      </c>
      <c r="CR97" s="150">
        <f t="shared" si="344"/>
        <v>0</v>
      </c>
      <c r="CS97" s="150">
        <f t="shared" si="345"/>
        <v>491</v>
      </c>
      <c r="CT97" s="150">
        <f t="shared" si="346"/>
        <v>0</v>
      </c>
      <c r="CU97" s="150">
        <v>633.75</v>
      </c>
      <c r="CV97" s="150">
        <v>0</v>
      </c>
      <c r="CW97" s="150">
        <v>158.44</v>
      </c>
      <c r="CX97" s="150">
        <v>0</v>
      </c>
      <c r="CY97" s="150"/>
      <c r="CZ97" s="150"/>
      <c r="DA97" s="150">
        <f t="shared" si="350"/>
        <v>322.19</v>
      </c>
      <c r="DB97" s="150">
        <f t="shared" si="351"/>
        <v>0</v>
      </c>
      <c r="DC97" s="150">
        <v>267.75</v>
      </c>
      <c r="DD97" s="150">
        <v>0</v>
      </c>
      <c r="DE97" s="150">
        <f t="shared" si="352"/>
        <v>54.44</v>
      </c>
      <c r="DF97" s="150">
        <f t="shared" si="353"/>
        <v>0</v>
      </c>
      <c r="DG97" s="150">
        <f t="shared" si="513"/>
        <v>158.44</v>
      </c>
      <c r="DH97" s="150">
        <f t="shared" si="513"/>
        <v>0</v>
      </c>
      <c r="DI97" s="150">
        <f t="shared" si="354"/>
        <v>104</v>
      </c>
      <c r="DJ97" s="150">
        <f>+DH97-DF97</f>
        <v>0</v>
      </c>
      <c r="DK97" s="104">
        <f t="shared" si="165"/>
        <v>207.56</v>
      </c>
      <c r="DL97" s="104">
        <f t="shared" si="166"/>
        <v>0</v>
      </c>
      <c r="DM97" s="104">
        <f t="shared" si="333"/>
        <v>207.56</v>
      </c>
      <c r="DN97" s="104">
        <f t="shared" si="334"/>
        <v>0</v>
      </c>
      <c r="DO97" s="104">
        <v>633.75</v>
      </c>
      <c r="DQ97" s="104">
        <v>657</v>
      </c>
    </row>
    <row r="98" spans="1:130" ht="18.75">
      <c r="A98" s="18"/>
      <c r="B98" s="18" t="s">
        <v>152</v>
      </c>
      <c r="C98" s="19" t="s">
        <v>153</v>
      </c>
      <c r="D98" s="20" t="s">
        <v>150</v>
      </c>
      <c r="E98" s="21" t="s">
        <v>154</v>
      </c>
      <c r="F98" s="22">
        <v>3300.82</v>
      </c>
      <c r="G98" s="22">
        <v>2955.42</v>
      </c>
      <c r="H98" s="22">
        <v>3341.82</v>
      </c>
      <c r="I98" s="22">
        <v>2955.42</v>
      </c>
      <c r="J98" s="88">
        <f t="shared" ref="J98:AA98" si="519">+J96+J97</f>
        <v>3897.08</v>
      </c>
      <c r="K98" s="88">
        <f t="shared" si="519"/>
        <v>0</v>
      </c>
      <c r="L98" s="88">
        <f t="shared" si="519"/>
        <v>0</v>
      </c>
      <c r="M98" s="88">
        <f t="shared" si="519"/>
        <v>3897.08</v>
      </c>
      <c r="N98" s="88">
        <f t="shared" si="519"/>
        <v>0</v>
      </c>
      <c r="O98" s="88">
        <f t="shared" si="519"/>
        <v>0</v>
      </c>
      <c r="P98" s="88">
        <f t="shared" si="519"/>
        <v>0</v>
      </c>
      <c r="Q98" s="88">
        <f t="shared" si="519"/>
        <v>0</v>
      </c>
      <c r="R98" s="88">
        <f t="shared" si="519"/>
        <v>3897.08</v>
      </c>
      <c r="S98" s="88">
        <f t="shared" si="519"/>
        <v>3500</v>
      </c>
      <c r="T98" s="88">
        <f t="shared" si="519"/>
        <v>0</v>
      </c>
      <c r="U98" s="88">
        <f t="shared" si="519"/>
        <v>0</v>
      </c>
      <c r="V98" s="88">
        <f t="shared" si="519"/>
        <v>3536.6499999999996</v>
      </c>
      <c r="W98" s="88">
        <f t="shared" si="519"/>
        <v>3052.06</v>
      </c>
      <c r="X98" s="88">
        <f t="shared" si="519"/>
        <v>360.43000000000012</v>
      </c>
      <c r="Y98" s="88">
        <f t="shared" si="519"/>
        <v>447.94000000000005</v>
      </c>
      <c r="Z98" s="88">
        <f t="shared" si="519"/>
        <v>3536.6499999999996</v>
      </c>
      <c r="AA98" s="88">
        <f t="shared" si="519"/>
        <v>0</v>
      </c>
      <c r="AB98" s="22">
        <f t="shared" si="312"/>
        <v>3536.6499999999996</v>
      </c>
      <c r="AC98" s="109">
        <f t="shared" si="313"/>
        <v>0</v>
      </c>
      <c r="AD98" s="22">
        <f t="shared" ref="AD98:CO98" si="520">+AD96+AD97</f>
        <v>3536.6499999999996</v>
      </c>
      <c r="AE98" s="22">
        <f t="shared" si="520"/>
        <v>3052.06</v>
      </c>
      <c r="AF98" s="22">
        <f t="shared" si="520"/>
        <v>3157.7</v>
      </c>
      <c r="AG98" s="22">
        <f t="shared" si="520"/>
        <v>884</v>
      </c>
      <c r="AH98" s="22">
        <f t="shared" si="520"/>
        <v>763</v>
      </c>
      <c r="AI98" s="118">
        <f t="shared" si="520"/>
        <v>295</v>
      </c>
      <c r="AJ98" s="22">
        <f t="shared" si="520"/>
        <v>254</v>
      </c>
      <c r="AK98" s="22">
        <f t="shared" si="520"/>
        <v>0</v>
      </c>
      <c r="AL98" s="22">
        <f t="shared" si="520"/>
        <v>0</v>
      </c>
      <c r="AM98" s="22">
        <f t="shared" si="520"/>
        <v>884.16</v>
      </c>
      <c r="AN98" s="22">
        <f t="shared" si="520"/>
        <v>743.18</v>
      </c>
      <c r="AO98" s="22">
        <f t="shared" si="520"/>
        <v>0</v>
      </c>
      <c r="AP98" s="22">
        <f t="shared" si="520"/>
        <v>0</v>
      </c>
      <c r="AQ98" s="22">
        <f t="shared" si="520"/>
        <v>1768.1599999999999</v>
      </c>
      <c r="AR98" s="22">
        <f t="shared" si="520"/>
        <v>1506.1799999999998</v>
      </c>
      <c r="AS98" s="22">
        <f t="shared" si="520"/>
        <v>0</v>
      </c>
      <c r="AT98" s="22">
        <f t="shared" si="520"/>
        <v>0</v>
      </c>
      <c r="AU98" s="22">
        <f t="shared" si="520"/>
        <v>884.16</v>
      </c>
      <c r="AV98" s="22">
        <f t="shared" si="520"/>
        <v>763.02</v>
      </c>
      <c r="AW98" s="22">
        <f t="shared" si="520"/>
        <v>0</v>
      </c>
      <c r="AX98" s="22">
        <f t="shared" si="520"/>
        <v>438.97</v>
      </c>
      <c r="AY98" s="22">
        <f t="shared" si="520"/>
        <v>2947.3199999999997</v>
      </c>
      <c r="AZ98" s="22">
        <f t="shared" si="520"/>
        <v>2962.17</v>
      </c>
      <c r="BA98" s="22">
        <f t="shared" si="520"/>
        <v>5909.49</v>
      </c>
      <c r="BB98" s="22">
        <f t="shared" si="520"/>
        <v>2791.01</v>
      </c>
      <c r="BC98" s="22">
        <f t="shared" si="520"/>
        <v>2738.5</v>
      </c>
      <c r="BD98" s="22">
        <f t="shared" si="520"/>
        <v>156.30999999999995</v>
      </c>
      <c r="BE98" s="22">
        <f t="shared" si="520"/>
        <v>223.67000000000007</v>
      </c>
      <c r="BF98" s="22">
        <f t="shared" si="520"/>
        <v>558.20000000000005</v>
      </c>
      <c r="BG98" s="118">
        <f t="shared" si="520"/>
        <v>547.70000000000005</v>
      </c>
      <c r="BH98" s="118">
        <f t="shared" si="520"/>
        <v>200.95000000000002</v>
      </c>
      <c r="BI98" s="118">
        <f t="shared" si="520"/>
        <v>162.02000000000001</v>
      </c>
      <c r="BJ98" s="118">
        <f t="shared" si="520"/>
        <v>0</v>
      </c>
      <c r="BK98" s="118">
        <f t="shared" si="520"/>
        <v>0</v>
      </c>
      <c r="BL98" s="118">
        <f t="shared" si="520"/>
        <v>3148.27</v>
      </c>
      <c r="BM98" s="118">
        <f t="shared" si="520"/>
        <v>3124.19</v>
      </c>
      <c r="BN98" s="118">
        <f t="shared" si="520"/>
        <v>6272.46</v>
      </c>
      <c r="BO98" s="118">
        <f t="shared" si="520"/>
        <v>3074.0600000000004</v>
      </c>
      <c r="BP98" s="118">
        <f t="shared" si="520"/>
        <v>2778.95</v>
      </c>
      <c r="BQ98" s="22">
        <f t="shared" si="520"/>
        <v>74.209999999999638</v>
      </c>
      <c r="BR98" s="22">
        <f t="shared" si="520"/>
        <v>345.24000000000024</v>
      </c>
      <c r="BS98" s="22">
        <f t="shared" si="520"/>
        <v>279.46000000000004</v>
      </c>
      <c r="BT98" s="22">
        <f t="shared" si="520"/>
        <v>252.63</v>
      </c>
      <c r="BU98" s="22">
        <f t="shared" si="520"/>
        <v>205.25000000000037</v>
      </c>
      <c r="BV98" s="22">
        <f t="shared" si="520"/>
        <v>0</v>
      </c>
      <c r="BW98" s="22">
        <f t="shared" si="520"/>
        <v>94.19</v>
      </c>
      <c r="BX98" s="22">
        <f t="shared" si="520"/>
        <v>300</v>
      </c>
      <c r="BY98" s="22">
        <f t="shared" si="520"/>
        <v>0</v>
      </c>
      <c r="BZ98" s="22">
        <f t="shared" si="520"/>
        <v>0</v>
      </c>
      <c r="CA98" s="22">
        <f t="shared" si="520"/>
        <v>3447.71</v>
      </c>
      <c r="CB98" s="22">
        <f t="shared" si="520"/>
        <v>3424.19</v>
      </c>
      <c r="CC98" s="22">
        <f t="shared" si="520"/>
        <v>3792.48</v>
      </c>
      <c r="CD98" s="118">
        <f t="shared" si="520"/>
        <v>3937.82</v>
      </c>
      <c r="CE98" s="190">
        <f t="shared" si="520"/>
        <v>316</v>
      </c>
      <c r="CF98" s="190">
        <f t="shared" si="520"/>
        <v>328</v>
      </c>
      <c r="CG98" s="190">
        <f t="shared" si="520"/>
        <v>861.93</v>
      </c>
      <c r="CH98" s="190">
        <f t="shared" si="520"/>
        <v>856.05</v>
      </c>
      <c r="CI98" s="190">
        <f t="shared" si="520"/>
        <v>0</v>
      </c>
      <c r="CJ98" s="190">
        <f t="shared" si="520"/>
        <v>0</v>
      </c>
      <c r="CK98" s="190">
        <f t="shared" si="520"/>
        <v>832.75</v>
      </c>
      <c r="CL98" s="190">
        <f t="shared" si="520"/>
        <v>900</v>
      </c>
      <c r="CM98" s="190">
        <f t="shared" si="520"/>
        <v>0</v>
      </c>
      <c r="CN98" s="190">
        <f t="shared" si="520"/>
        <v>0</v>
      </c>
      <c r="CO98" s="190">
        <f t="shared" si="520"/>
        <v>4087.6</v>
      </c>
      <c r="CP98" s="190">
        <f t="shared" ref="CP98:DQ98" si="521">+CP96+CP97</f>
        <v>3580</v>
      </c>
      <c r="CQ98" s="190">
        <f t="shared" si="521"/>
        <v>3331</v>
      </c>
      <c r="CR98" s="190">
        <f t="shared" si="521"/>
        <v>3600</v>
      </c>
      <c r="CS98" s="190">
        <f t="shared" si="521"/>
        <v>3331</v>
      </c>
      <c r="CT98" s="190">
        <f t="shared" si="521"/>
        <v>3580</v>
      </c>
      <c r="CU98" s="190">
        <f t="shared" si="521"/>
        <v>4033.75</v>
      </c>
      <c r="CV98" s="190">
        <f t="shared" si="521"/>
        <v>4015</v>
      </c>
      <c r="CW98" s="190">
        <f t="shared" si="521"/>
        <v>868.44</v>
      </c>
      <c r="CX98" s="190">
        <f t="shared" si="521"/>
        <v>895</v>
      </c>
      <c r="CY98" s="190">
        <f t="shared" si="521"/>
        <v>235</v>
      </c>
      <c r="CZ98" s="190">
        <f t="shared" si="521"/>
        <v>300</v>
      </c>
      <c r="DA98" s="190">
        <f t="shared" si="521"/>
        <v>2252.19</v>
      </c>
      <c r="DB98" s="190">
        <f t="shared" si="521"/>
        <v>2423</v>
      </c>
      <c r="DC98" s="190">
        <f t="shared" si="521"/>
        <v>1977.21</v>
      </c>
      <c r="DD98" s="190">
        <f t="shared" si="521"/>
        <v>2208.04</v>
      </c>
      <c r="DE98" s="190">
        <f t="shared" si="521"/>
        <v>274.97999999999996</v>
      </c>
      <c r="DF98" s="190">
        <f t="shared" si="521"/>
        <v>214.96000000000004</v>
      </c>
      <c r="DG98" s="190">
        <f t="shared" si="521"/>
        <v>1008.44</v>
      </c>
      <c r="DH98" s="190">
        <f t="shared" si="521"/>
        <v>1003.75</v>
      </c>
      <c r="DI98" s="190">
        <f t="shared" si="521"/>
        <v>733.46</v>
      </c>
      <c r="DJ98" s="190">
        <f t="shared" si="521"/>
        <v>788.79</v>
      </c>
      <c r="DK98" s="104">
        <f t="shared" si="165"/>
        <v>1048.0999999999999</v>
      </c>
      <c r="DL98" s="104">
        <f t="shared" si="166"/>
        <v>803.21</v>
      </c>
      <c r="DM98" s="104">
        <f t="shared" si="333"/>
        <v>1048.0999999999999</v>
      </c>
      <c r="DN98" s="104">
        <f t="shared" si="334"/>
        <v>803.21</v>
      </c>
      <c r="DO98" s="22">
        <f t="shared" si="521"/>
        <v>4033.75</v>
      </c>
      <c r="DP98" s="22">
        <f t="shared" si="521"/>
        <v>4015</v>
      </c>
      <c r="DQ98" s="22">
        <f t="shared" si="521"/>
        <v>4657</v>
      </c>
      <c r="DR98" s="22">
        <f t="shared" ref="DR98:DV98" si="522">+DR96+DR97</f>
        <v>5000</v>
      </c>
      <c r="DS98" s="22">
        <f t="shared" si="522"/>
        <v>0</v>
      </c>
      <c r="DT98" s="22">
        <f t="shared" si="522"/>
        <v>0</v>
      </c>
      <c r="DU98" s="22">
        <f t="shared" si="522"/>
        <v>0</v>
      </c>
      <c r="DV98" s="22">
        <f t="shared" si="522"/>
        <v>0</v>
      </c>
    </row>
    <row r="99" spans="1:130" ht="18.75">
      <c r="A99" s="13">
        <v>8</v>
      </c>
      <c r="B99" s="13"/>
      <c r="C99" s="14"/>
      <c r="D99" s="15" t="s">
        <v>155</v>
      </c>
      <c r="E99" s="16"/>
      <c r="F99" s="81">
        <v>3769.9999999999995</v>
      </c>
      <c r="G99" s="81">
        <v>2800</v>
      </c>
      <c r="H99" s="81">
        <v>3769.9999999999995</v>
      </c>
      <c r="I99" s="17">
        <v>2800</v>
      </c>
      <c r="J99" s="86">
        <v>4400</v>
      </c>
      <c r="K99" s="87">
        <v>0</v>
      </c>
      <c r="L99" s="87">
        <v>0</v>
      </c>
      <c r="M99" s="87">
        <f t="shared" si="478"/>
        <v>4400</v>
      </c>
      <c r="N99" s="87">
        <v>0</v>
      </c>
      <c r="O99" s="87">
        <v>0</v>
      </c>
      <c r="P99" s="87">
        <v>0</v>
      </c>
      <c r="Q99" s="87">
        <f t="shared" ref="Q99:Q103" si="523">N99+O99+P99</f>
        <v>0</v>
      </c>
      <c r="R99" s="87">
        <f t="shared" si="514"/>
        <v>4400</v>
      </c>
      <c r="S99" s="87">
        <v>2950</v>
      </c>
      <c r="V99" s="17">
        <f t="shared" ref="V99:V100" si="524">ROUND(H99*1.0583,2)</f>
        <v>3989.79</v>
      </c>
      <c r="W99" s="17">
        <f t="shared" ref="W99:W100" si="525">ROUND(I99*1.0327,2)</f>
        <v>2891.56</v>
      </c>
      <c r="X99" s="108">
        <f t="shared" si="310"/>
        <v>410.21000000000004</v>
      </c>
      <c r="Y99" s="108">
        <f t="shared" si="311"/>
        <v>58.440000000000055</v>
      </c>
      <c r="Z99" s="108">
        <v>3989.79</v>
      </c>
      <c r="AA99" s="108"/>
      <c r="AB99" s="108">
        <f t="shared" si="312"/>
        <v>3989.79</v>
      </c>
      <c r="AC99" s="109">
        <f t="shared" si="313"/>
        <v>0</v>
      </c>
      <c r="AD99" s="108">
        <f t="shared" ref="AD99:AD100" si="526">IF(X99&gt;0,V99,R99)</f>
        <v>3989.79</v>
      </c>
      <c r="AE99" s="108">
        <f t="shared" ref="AE99:AE100" si="527">IF(Y99&gt;0,W99,S99)</f>
        <v>2891.56</v>
      </c>
      <c r="AF99" s="108">
        <f t="shared" si="314"/>
        <v>2661.49</v>
      </c>
      <c r="AG99" s="108">
        <f t="shared" si="315"/>
        <v>997</v>
      </c>
      <c r="AH99" s="108">
        <f t="shared" si="316"/>
        <v>723</v>
      </c>
      <c r="AI99" s="127">
        <f t="shared" si="317"/>
        <v>332</v>
      </c>
      <c r="AJ99" s="108">
        <f t="shared" si="318"/>
        <v>241</v>
      </c>
      <c r="AM99" s="108">
        <f t="shared" si="319"/>
        <v>997.45</v>
      </c>
      <c r="AN99" s="108">
        <f t="shared" si="320"/>
        <v>704.09</v>
      </c>
      <c r="AQ99" s="108">
        <f t="shared" si="321"/>
        <v>1994.45</v>
      </c>
      <c r="AR99" s="108">
        <f t="shared" si="322"/>
        <v>1427.0900000000001</v>
      </c>
      <c r="AU99" s="108">
        <f t="shared" si="497"/>
        <v>997.45</v>
      </c>
      <c r="AV99" s="108">
        <f t="shared" si="184"/>
        <v>722.89</v>
      </c>
      <c r="AY99" s="108">
        <f t="shared" si="303"/>
        <v>3323.9</v>
      </c>
      <c r="AZ99" s="108">
        <f t="shared" si="304"/>
        <v>2390.98</v>
      </c>
      <c r="BA99" s="108">
        <f t="shared" si="305"/>
        <v>5714.88</v>
      </c>
      <c r="BB99" s="139">
        <v>3226.95</v>
      </c>
      <c r="BC99" s="139">
        <v>2387.04</v>
      </c>
      <c r="BD99" s="139">
        <f t="shared" si="306"/>
        <v>96.950000000000273</v>
      </c>
      <c r="BE99" s="139">
        <f t="shared" si="307"/>
        <v>3.9400000000000546</v>
      </c>
      <c r="BF99" s="139">
        <f t="shared" si="308"/>
        <v>645.39</v>
      </c>
      <c r="BG99" s="139">
        <f t="shared" si="309"/>
        <v>477.41</v>
      </c>
      <c r="BH99" s="108">
        <v>274.22000000000003</v>
      </c>
      <c r="BI99" s="108">
        <v>190</v>
      </c>
      <c r="BK99" s="108">
        <v>50</v>
      </c>
      <c r="BL99" s="108">
        <f t="shared" si="332"/>
        <v>3598.12</v>
      </c>
      <c r="BM99" s="108">
        <f t="shared" si="335"/>
        <v>2630.98</v>
      </c>
      <c r="BN99" s="108">
        <f t="shared" si="336"/>
        <v>6229.1</v>
      </c>
      <c r="BO99" s="108">
        <v>3570.56</v>
      </c>
      <c r="BP99" s="127">
        <v>2630.6</v>
      </c>
      <c r="BQ99" s="108">
        <f t="shared" si="337"/>
        <v>27.559999999999945</v>
      </c>
      <c r="BR99" s="108">
        <f t="shared" si="338"/>
        <v>0.38000000000010914</v>
      </c>
      <c r="BS99" s="108">
        <f t="shared" si="339"/>
        <v>324.60000000000002</v>
      </c>
      <c r="BT99" s="108">
        <f t="shared" si="340"/>
        <v>239.15</v>
      </c>
      <c r="BU99" s="108">
        <f t="shared" si="364"/>
        <v>297.04000000000008</v>
      </c>
      <c r="BV99" s="108">
        <f t="shared" si="510"/>
        <v>238.77</v>
      </c>
      <c r="BW99" s="109">
        <v>29.84</v>
      </c>
      <c r="BX99" s="108">
        <f>45+1.25</f>
        <v>46.25</v>
      </c>
      <c r="CA99" s="108">
        <v>3925</v>
      </c>
      <c r="CB99" s="108">
        <v>2916</v>
      </c>
      <c r="CC99">
        <v>4317.5</v>
      </c>
      <c r="CD99">
        <v>3353.4</v>
      </c>
      <c r="CE99" s="189">
        <v>360</v>
      </c>
      <c r="CF99" s="189">
        <v>279</v>
      </c>
      <c r="CG99" s="189">
        <f t="shared" si="341"/>
        <v>981.25</v>
      </c>
      <c r="CH99" s="189">
        <f t="shared" si="342"/>
        <v>729</v>
      </c>
      <c r="CI99" s="150"/>
      <c r="CJ99" s="150"/>
      <c r="CK99" s="150">
        <v>1080</v>
      </c>
      <c r="CL99" s="150">
        <f>837-37-50</f>
        <v>750</v>
      </c>
      <c r="CM99" s="150"/>
      <c r="CN99" s="150"/>
      <c r="CO99" s="150">
        <v>4350</v>
      </c>
      <c r="CP99" s="150">
        <v>3200</v>
      </c>
      <c r="CQ99" s="150">
        <f t="shared" si="343"/>
        <v>4320</v>
      </c>
      <c r="CR99" s="150">
        <f t="shared" si="344"/>
        <v>3000</v>
      </c>
      <c r="CS99" s="150">
        <f t="shared" si="345"/>
        <v>4320</v>
      </c>
      <c r="CT99" s="150">
        <f t="shared" si="346"/>
        <v>3000</v>
      </c>
      <c r="CU99" s="150">
        <f t="shared" ref="CU99:CU100" si="528">IF(CQ99&lt;CS99,CQ99,CS99)</f>
        <v>4320</v>
      </c>
      <c r="CV99" s="150">
        <f t="shared" ref="CV99:CV100" si="529">IF(CR99&lt;CT99,CR99,CT99)</f>
        <v>3000</v>
      </c>
      <c r="CW99" s="150">
        <f t="shared" si="349"/>
        <v>1080</v>
      </c>
      <c r="CX99" s="150">
        <f t="shared" si="366"/>
        <v>750</v>
      </c>
      <c r="CY99" s="150"/>
      <c r="CZ99" s="150">
        <v>110</v>
      </c>
      <c r="DA99" s="150">
        <f t="shared" si="350"/>
        <v>2520</v>
      </c>
      <c r="DB99" s="150">
        <f t="shared" si="351"/>
        <v>1889</v>
      </c>
      <c r="DC99" s="150">
        <v>2444.71</v>
      </c>
      <c r="DD99" s="150">
        <v>1885.5</v>
      </c>
      <c r="DE99" s="150">
        <f t="shared" si="352"/>
        <v>75.289999999999964</v>
      </c>
      <c r="DF99" s="150">
        <f t="shared" si="353"/>
        <v>3.5</v>
      </c>
      <c r="DG99" s="150">
        <f>ROUND(0.25*(MIN(CU99,DO99)),2)</f>
        <v>1050</v>
      </c>
      <c r="DH99" s="150">
        <f>ROUND(0.25*(MIN(CV99,DP99)),2)</f>
        <v>750</v>
      </c>
      <c r="DI99" s="150">
        <f t="shared" si="354"/>
        <v>974.71</v>
      </c>
      <c r="DJ99" s="150">
        <f>+DH99-DF99</f>
        <v>746.5</v>
      </c>
      <c r="DK99" s="104">
        <f t="shared" si="165"/>
        <v>705.29</v>
      </c>
      <c r="DL99" s="104">
        <f t="shared" si="166"/>
        <v>614.5</v>
      </c>
      <c r="DM99" s="104">
        <f t="shared" si="333"/>
        <v>825.29</v>
      </c>
      <c r="DN99" s="104">
        <f t="shared" si="334"/>
        <v>364.5</v>
      </c>
      <c r="DO99" s="104">
        <v>4200</v>
      </c>
      <c r="DP99" s="104">
        <v>3250</v>
      </c>
      <c r="DQ99" s="104">
        <v>4500</v>
      </c>
      <c r="DR99" s="104">
        <v>3500</v>
      </c>
    </row>
    <row r="100" spans="1:130" ht="18.75">
      <c r="A100" s="13">
        <v>9</v>
      </c>
      <c r="B100" s="13"/>
      <c r="C100" s="14"/>
      <c r="D100" s="15" t="s">
        <v>156</v>
      </c>
      <c r="E100" s="16"/>
      <c r="F100" s="81">
        <v>456.72999999999996</v>
      </c>
      <c r="G100" s="81">
        <v>0</v>
      </c>
      <c r="H100" s="81">
        <v>456.72999999999996</v>
      </c>
      <c r="I100" s="17">
        <v>0</v>
      </c>
      <c r="J100" s="86">
        <v>670</v>
      </c>
      <c r="K100" s="87">
        <v>0</v>
      </c>
      <c r="L100" s="87">
        <v>0</v>
      </c>
      <c r="M100" s="87">
        <f t="shared" si="478"/>
        <v>670</v>
      </c>
      <c r="N100" s="87">
        <v>80</v>
      </c>
      <c r="O100" s="87">
        <v>0</v>
      </c>
      <c r="P100" s="87">
        <v>0</v>
      </c>
      <c r="Q100" s="87">
        <f t="shared" si="523"/>
        <v>80</v>
      </c>
      <c r="R100" s="87">
        <f t="shared" si="514"/>
        <v>750</v>
      </c>
      <c r="S100" s="87">
        <v>0</v>
      </c>
      <c r="V100" s="17">
        <f t="shared" si="524"/>
        <v>483.36</v>
      </c>
      <c r="W100" s="17">
        <f t="shared" si="525"/>
        <v>0</v>
      </c>
      <c r="X100" s="108">
        <f t="shared" si="310"/>
        <v>266.64</v>
      </c>
      <c r="Y100" s="108">
        <f t="shared" si="311"/>
        <v>0</v>
      </c>
      <c r="Z100" s="108">
        <v>433.36</v>
      </c>
      <c r="AA100" s="108">
        <v>50</v>
      </c>
      <c r="AB100" s="108">
        <f t="shared" si="312"/>
        <v>483.36</v>
      </c>
      <c r="AC100" s="109">
        <f t="shared" si="313"/>
        <v>0</v>
      </c>
      <c r="AD100" s="108">
        <f t="shared" si="526"/>
        <v>483.36</v>
      </c>
      <c r="AE100" s="108">
        <f t="shared" si="527"/>
        <v>0</v>
      </c>
      <c r="AF100" s="108">
        <f t="shared" si="314"/>
        <v>0</v>
      </c>
      <c r="AG100" s="108">
        <f t="shared" si="315"/>
        <v>121</v>
      </c>
      <c r="AH100" s="108">
        <f t="shared" si="316"/>
        <v>0</v>
      </c>
      <c r="AI100" s="127">
        <f t="shared" si="317"/>
        <v>40</v>
      </c>
      <c r="AJ100" s="108">
        <f t="shared" si="318"/>
        <v>0</v>
      </c>
      <c r="AM100" s="108">
        <f t="shared" si="319"/>
        <v>120.84</v>
      </c>
      <c r="AN100" s="108">
        <f t="shared" si="320"/>
        <v>0</v>
      </c>
      <c r="AQ100" s="108">
        <f t="shared" si="321"/>
        <v>241.84</v>
      </c>
      <c r="AR100" s="108">
        <f t="shared" si="322"/>
        <v>0</v>
      </c>
      <c r="AU100" s="108">
        <f t="shared" si="497"/>
        <v>120.84</v>
      </c>
      <c r="AV100" s="108">
        <f t="shared" si="184"/>
        <v>0</v>
      </c>
      <c r="AY100" s="108">
        <f t="shared" si="303"/>
        <v>402.68</v>
      </c>
      <c r="AZ100" s="108">
        <f t="shared" si="304"/>
        <v>0</v>
      </c>
      <c r="BA100" s="108">
        <f t="shared" si="305"/>
        <v>402.68</v>
      </c>
      <c r="BB100" s="139">
        <v>401.84</v>
      </c>
      <c r="BD100" s="139">
        <f t="shared" si="306"/>
        <v>0.84000000000003183</v>
      </c>
      <c r="BE100" s="139">
        <f t="shared" si="307"/>
        <v>0</v>
      </c>
      <c r="BF100" s="139">
        <f t="shared" si="308"/>
        <v>80.37</v>
      </c>
      <c r="BG100" s="139">
        <f t="shared" si="309"/>
        <v>0</v>
      </c>
      <c r="BH100" s="108">
        <v>39.770000000000003</v>
      </c>
      <c r="BI100" s="108">
        <v>0</v>
      </c>
      <c r="BL100" s="108">
        <f t="shared" si="332"/>
        <v>442.45</v>
      </c>
      <c r="BM100" s="108">
        <f t="shared" si="335"/>
        <v>0</v>
      </c>
      <c r="BN100" s="108">
        <f t="shared" si="336"/>
        <v>442.45</v>
      </c>
      <c r="BO100" s="108">
        <v>401.84</v>
      </c>
      <c r="BP100" s="127"/>
      <c r="BQ100" s="108">
        <f t="shared" si="337"/>
        <v>40.610000000000014</v>
      </c>
      <c r="BR100" s="108">
        <f t="shared" si="338"/>
        <v>0</v>
      </c>
      <c r="BS100" s="108">
        <f t="shared" si="339"/>
        <v>36.53</v>
      </c>
      <c r="BT100" s="108">
        <f t="shared" si="340"/>
        <v>0</v>
      </c>
      <c r="BU100" s="108">
        <v>0</v>
      </c>
      <c r="BV100" s="108">
        <f t="shared" si="510"/>
        <v>0</v>
      </c>
      <c r="BW100" s="109">
        <v>240.09</v>
      </c>
      <c r="CA100" s="108">
        <v>682.54</v>
      </c>
      <c r="CB100" s="108">
        <v>0</v>
      </c>
      <c r="CC100">
        <v>750.79</v>
      </c>
      <c r="CD100">
        <v>0</v>
      </c>
      <c r="CE100" s="189">
        <v>63</v>
      </c>
      <c r="CF100" s="189">
        <v>0</v>
      </c>
      <c r="CG100" s="189">
        <f t="shared" si="341"/>
        <v>170.64</v>
      </c>
      <c r="CH100" s="189">
        <f t="shared" si="342"/>
        <v>0</v>
      </c>
      <c r="CI100" s="150"/>
      <c r="CJ100" s="150"/>
      <c r="CK100" s="150">
        <v>189</v>
      </c>
      <c r="CL100" s="150"/>
      <c r="CM100" s="150"/>
      <c r="CN100" s="150"/>
      <c r="CO100" s="150">
        <v>654.75</v>
      </c>
      <c r="CP100" s="150"/>
      <c r="CQ100" s="150">
        <f t="shared" si="343"/>
        <v>756</v>
      </c>
      <c r="CR100" s="150">
        <f t="shared" si="344"/>
        <v>0</v>
      </c>
      <c r="CS100" s="150">
        <f t="shared" si="345"/>
        <v>654.75</v>
      </c>
      <c r="CT100" s="150">
        <f t="shared" si="346"/>
        <v>0</v>
      </c>
      <c r="CU100" s="150">
        <f t="shared" si="528"/>
        <v>654.75</v>
      </c>
      <c r="CV100" s="150">
        <f t="shared" si="529"/>
        <v>0</v>
      </c>
      <c r="CW100" s="150">
        <f t="shared" si="349"/>
        <v>163.69</v>
      </c>
      <c r="CX100" s="150">
        <f t="shared" si="366"/>
        <v>0</v>
      </c>
      <c r="CY100" s="150"/>
      <c r="CZ100" s="150"/>
      <c r="DA100" s="150">
        <f t="shared" si="350"/>
        <v>415.69</v>
      </c>
      <c r="DB100" s="150">
        <f t="shared" si="351"/>
        <v>0</v>
      </c>
      <c r="DC100" s="150">
        <v>415.69</v>
      </c>
      <c r="DD100" s="150">
        <v>0</v>
      </c>
      <c r="DE100" s="150">
        <f t="shared" si="352"/>
        <v>0</v>
      </c>
      <c r="DF100" s="150">
        <f t="shared" si="353"/>
        <v>0</v>
      </c>
      <c r="DG100" s="150">
        <f>ROUND(0.25*(MIN(CU100,DO100)),2)</f>
        <v>163.69</v>
      </c>
      <c r="DH100" s="150">
        <f>ROUND(0.25*(MIN(CV100,DP100)),2)</f>
        <v>0</v>
      </c>
      <c r="DI100" s="150">
        <f t="shared" si="354"/>
        <v>163.69</v>
      </c>
      <c r="DJ100" s="150">
        <f>+DH100-DF100</f>
        <v>0</v>
      </c>
      <c r="DK100" s="104">
        <f t="shared" si="165"/>
        <v>134.62</v>
      </c>
      <c r="DL100" s="104">
        <f t="shared" si="166"/>
        <v>0</v>
      </c>
      <c r="DM100" s="104">
        <f t="shared" si="333"/>
        <v>75.37</v>
      </c>
      <c r="DN100" s="104">
        <f t="shared" si="334"/>
        <v>0</v>
      </c>
      <c r="DO100" s="104">
        <f>631+83</f>
        <v>714</v>
      </c>
      <c r="DQ100" s="178">
        <f>636.8+88</f>
        <v>724.8</v>
      </c>
    </row>
    <row r="101" spans="1:130" ht="18.75">
      <c r="A101" s="18"/>
      <c r="B101" s="18" t="s">
        <v>157</v>
      </c>
      <c r="C101" s="19" t="s">
        <v>158</v>
      </c>
      <c r="D101" s="20" t="s">
        <v>155</v>
      </c>
      <c r="E101" s="21" t="s">
        <v>159</v>
      </c>
      <c r="F101" s="22">
        <v>4226.7299999999996</v>
      </c>
      <c r="G101" s="22">
        <v>2800</v>
      </c>
      <c r="H101" s="22">
        <v>4226.7299999999996</v>
      </c>
      <c r="I101" s="22">
        <v>2800</v>
      </c>
      <c r="J101" s="88">
        <f t="shared" ref="J101:AA101" si="530">+J99+J100</f>
        <v>5070</v>
      </c>
      <c r="K101" s="88">
        <f t="shared" si="530"/>
        <v>0</v>
      </c>
      <c r="L101" s="88">
        <f t="shared" si="530"/>
        <v>0</v>
      </c>
      <c r="M101" s="88">
        <f t="shared" si="530"/>
        <v>5070</v>
      </c>
      <c r="N101" s="88">
        <f t="shared" si="530"/>
        <v>80</v>
      </c>
      <c r="O101" s="88">
        <f t="shared" si="530"/>
        <v>0</v>
      </c>
      <c r="P101" s="88">
        <f t="shared" si="530"/>
        <v>0</v>
      </c>
      <c r="Q101" s="88">
        <f t="shared" si="530"/>
        <v>80</v>
      </c>
      <c r="R101" s="88">
        <f t="shared" si="530"/>
        <v>5150</v>
      </c>
      <c r="S101" s="88">
        <f t="shared" si="530"/>
        <v>2950</v>
      </c>
      <c r="T101" s="88">
        <f t="shared" si="530"/>
        <v>0</v>
      </c>
      <c r="U101" s="88">
        <f t="shared" si="530"/>
        <v>0</v>
      </c>
      <c r="V101" s="88">
        <f t="shared" si="530"/>
        <v>4473.1499999999996</v>
      </c>
      <c r="W101" s="88">
        <f t="shared" si="530"/>
        <v>2891.56</v>
      </c>
      <c r="X101" s="88">
        <f t="shared" si="530"/>
        <v>676.85</v>
      </c>
      <c r="Y101" s="88">
        <f t="shared" si="530"/>
        <v>58.440000000000055</v>
      </c>
      <c r="Z101" s="88">
        <f t="shared" si="530"/>
        <v>4423.1499999999996</v>
      </c>
      <c r="AA101" s="88">
        <f t="shared" si="530"/>
        <v>50</v>
      </c>
      <c r="AB101" s="22">
        <f t="shared" si="312"/>
        <v>4473.1499999999996</v>
      </c>
      <c r="AC101" s="109">
        <f t="shared" si="313"/>
        <v>0</v>
      </c>
      <c r="AD101" s="22">
        <f t="shared" ref="AD101:CP101" si="531">+AD99+AD100</f>
        <v>4473.1499999999996</v>
      </c>
      <c r="AE101" s="22">
        <f t="shared" si="531"/>
        <v>2891.56</v>
      </c>
      <c r="AF101" s="22">
        <f t="shared" si="531"/>
        <v>2661.49</v>
      </c>
      <c r="AG101" s="22">
        <f t="shared" si="531"/>
        <v>1118</v>
      </c>
      <c r="AH101" s="22">
        <f t="shared" si="531"/>
        <v>723</v>
      </c>
      <c r="AI101" s="118">
        <f t="shared" si="531"/>
        <v>372</v>
      </c>
      <c r="AJ101" s="22">
        <f t="shared" si="531"/>
        <v>241</v>
      </c>
      <c r="AK101" s="22">
        <f t="shared" si="531"/>
        <v>0</v>
      </c>
      <c r="AL101" s="22">
        <f t="shared" si="531"/>
        <v>0</v>
      </c>
      <c r="AM101" s="22">
        <f t="shared" si="531"/>
        <v>1118.29</v>
      </c>
      <c r="AN101" s="22">
        <f t="shared" si="531"/>
        <v>704.09</v>
      </c>
      <c r="AO101" s="22">
        <f t="shared" si="531"/>
        <v>0</v>
      </c>
      <c r="AP101" s="22">
        <f t="shared" si="531"/>
        <v>0</v>
      </c>
      <c r="AQ101" s="22">
        <f t="shared" si="531"/>
        <v>2236.29</v>
      </c>
      <c r="AR101" s="22">
        <f t="shared" si="531"/>
        <v>1427.0900000000001</v>
      </c>
      <c r="AS101" s="22">
        <f t="shared" si="531"/>
        <v>0</v>
      </c>
      <c r="AT101" s="22">
        <f t="shared" si="531"/>
        <v>0</v>
      </c>
      <c r="AU101" s="22">
        <f t="shared" si="531"/>
        <v>1118.29</v>
      </c>
      <c r="AV101" s="22">
        <f t="shared" si="531"/>
        <v>722.89</v>
      </c>
      <c r="AW101" s="22">
        <f t="shared" si="531"/>
        <v>0</v>
      </c>
      <c r="AX101" s="22">
        <f t="shared" si="531"/>
        <v>0</v>
      </c>
      <c r="AY101" s="22">
        <f t="shared" si="531"/>
        <v>3726.58</v>
      </c>
      <c r="AZ101" s="22">
        <f t="shared" si="531"/>
        <v>2390.98</v>
      </c>
      <c r="BA101" s="22">
        <f t="shared" si="531"/>
        <v>6117.56</v>
      </c>
      <c r="BB101" s="22">
        <f t="shared" si="531"/>
        <v>3628.79</v>
      </c>
      <c r="BC101" s="22">
        <f t="shared" si="531"/>
        <v>2387.04</v>
      </c>
      <c r="BD101" s="22">
        <f t="shared" si="531"/>
        <v>97.790000000000305</v>
      </c>
      <c r="BE101" s="22">
        <f t="shared" si="531"/>
        <v>3.9400000000000546</v>
      </c>
      <c r="BF101" s="22">
        <f t="shared" si="531"/>
        <v>725.76</v>
      </c>
      <c r="BG101" s="118">
        <f t="shared" si="531"/>
        <v>477.41</v>
      </c>
      <c r="BH101" s="118">
        <f t="shared" si="531"/>
        <v>313.99</v>
      </c>
      <c r="BI101" s="118">
        <f t="shared" si="531"/>
        <v>190</v>
      </c>
      <c r="BJ101" s="118">
        <f t="shared" si="531"/>
        <v>0</v>
      </c>
      <c r="BK101" s="118">
        <f t="shared" si="531"/>
        <v>50</v>
      </c>
      <c r="BL101" s="118">
        <f t="shared" si="531"/>
        <v>4040.5699999999997</v>
      </c>
      <c r="BM101" s="118">
        <f t="shared" si="531"/>
        <v>2630.98</v>
      </c>
      <c r="BN101" s="118">
        <f t="shared" si="531"/>
        <v>6671.55</v>
      </c>
      <c r="BO101" s="118">
        <f t="shared" si="531"/>
        <v>3972.4</v>
      </c>
      <c r="BP101" s="118">
        <f t="shared" si="531"/>
        <v>2630.6</v>
      </c>
      <c r="BQ101" s="22">
        <f t="shared" si="531"/>
        <v>68.169999999999959</v>
      </c>
      <c r="BR101" s="22">
        <f t="shared" si="531"/>
        <v>0.38000000000010914</v>
      </c>
      <c r="BS101" s="22">
        <f t="shared" si="531"/>
        <v>361.13</v>
      </c>
      <c r="BT101" s="22">
        <f t="shared" si="531"/>
        <v>239.15</v>
      </c>
      <c r="BU101" s="22">
        <f t="shared" si="531"/>
        <v>297.04000000000008</v>
      </c>
      <c r="BV101" s="22">
        <f t="shared" si="531"/>
        <v>238.77</v>
      </c>
      <c r="BW101" s="22">
        <f t="shared" si="531"/>
        <v>269.93</v>
      </c>
      <c r="BX101" s="22">
        <f t="shared" si="531"/>
        <v>46.25</v>
      </c>
      <c r="BY101" s="22">
        <f t="shared" si="531"/>
        <v>0</v>
      </c>
      <c r="BZ101" s="22">
        <f t="shared" si="531"/>
        <v>0</v>
      </c>
      <c r="CA101" s="22">
        <f t="shared" si="531"/>
        <v>4607.54</v>
      </c>
      <c r="CB101" s="22">
        <f t="shared" si="531"/>
        <v>2916</v>
      </c>
      <c r="CC101" s="22">
        <f t="shared" si="531"/>
        <v>5068.29</v>
      </c>
      <c r="CD101" s="118">
        <f t="shared" si="531"/>
        <v>3353.4</v>
      </c>
      <c r="CE101" s="190">
        <f t="shared" si="531"/>
        <v>423</v>
      </c>
      <c r="CF101" s="190">
        <f t="shared" si="531"/>
        <v>279</v>
      </c>
      <c r="CG101" s="190">
        <f t="shared" si="531"/>
        <v>1151.8899999999999</v>
      </c>
      <c r="CH101" s="190">
        <f t="shared" si="531"/>
        <v>729</v>
      </c>
      <c r="CI101" s="190">
        <f t="shared" si="531"/>
        <v>0</v>
      </c>
      <c r="CJ101" s="190">
        <f t="shared" si="531"/>
        <v>0</v>
      </c>
      <c r="CK101" s="190">
        <f t="shared" si="531"/>
        <v>1269</v>
      </c>
      <c r="CL101" s="190">
        <f t="shared" si="531"/>
        <v>750</v>
      </c>
      <c r="CM101" s="190">
        <f t="shared" si="531"/>
        <v>0</v>
      </c>
      <c r="CN101" s="190">
        <f t="shared" si="531"/>
        <v>0</v>
      </c>
      <c r="CO101" s="190">
        <f t="shared" si="531"/>
        <v>5004.75</v>
      </c>
      <c r="CP101" s="190">
        <f t="shared" si="531"/>
        <v>3200</v>
      </c>
      <c r="CQ101" s="190">
        <f t="shared" ref="CQ101:DO101" si="532">+CQ99+CQ100</f>
        <v>5076</v>
      </c>
      <c r="CR101" s="190">
        <f t="shared" si="532"/>
        <v>3000</v>
      </c>
      <c r="CS101" s="190">
        <f t="shared" si="532"/>
        <v>4974.75</v>
      </c>
      <c r="CT101" s="190">
        <f t="shared" si="532"/>
        <v>3000</v>
      </c>
      <c r="CU101" s="190">
        <f t="shared" si="532"/>
        <v>4974.75</v>
      </c>
      <c r="CV101" s="190">
        <f t="shared" si="532"/>
        <v>3000</v>
      </c>
      <c r="CW101" s="190">
        <f t="shared" si="532"/>
        <v>1243.69</v>
      </c>
      <c r="CX101" s="190">
        <f t="shared" si="532"/>
        <v>750</v>
      </c>
      <c r="CY101" s="190">
        <f t="shared" si="532"/>
        <v>0</v>
      </c>
      <c r="CZ101" s="190">
        <f t="shared" si="532"/>
        <v>110</v>
      </c>
      <c r="DA101" s="190">
        <f t="shared" si="532"/>
        <v>2935.69</v>
      </c>
      <c r="DB101" s="190">
        <f t="shared" si="532"/>
        <v>1889</v>
      </c>
      <c r="DC101" s="190">
        <f t="shared" si="532"/>
        <v>2860.4</v>
      </c>
      <c r="DD101" s="190">
        <f t="shared" si="532"/>
        <v>1885.5</v>
      </c>
      <c r="DE101" s="190">
        <f t="shared" si="532"/>
        <v>75.289999999999964</v>
      </c>
      <c r="DF101" s="190">
        <f t="shared" si="532"/>
        <v>3.5</v>
      </c>
      <c r="DG101" s="190">
        <f t="shared" si="532"/>
        <v>1213.69</v>
      </c>
      <c r="DH101" s="190">
        <f t="shared" si="532"/>
        <v>750</v>
      </c>
      <c r="DI101" s="190">
        <f t="shared" si="532"/>
        <v>1138.4000000000001</v>
      </c>
      <c r="DJ101" s="190">
        <f t="shared" si="532"/>
        <v>746.5</v>
      </c>
      <c r="DK101" s="104">
        <f t="shared" si="165"/>
        <v>839.90999999999985</v>
      </c>
      <c r="DL101" s="104">
        <f t="shared" si="166"/>
        <v>614.5</v>
      </c>
      <c r="DM101" s="104">
        <f t="shared" si="333"/>
        <v>900.65999999999985</v>
      </c>
      <c r="DN101" s="104">
        <f t="shared" si="334"/>
        <v>364.5</v>
      </c>
      <c r="DO101" s="22">
        <f t="shared" si="532"/>
        <v>4914</v>
      </c>
      <c r="DP101" s="22">
        <f t="shared" ref="DP101:DW101" si="533">+DP99+DP100</f>
        <v>3250</v>
      </c>
      <c r="DQ101" s="22">
        <f t="shared" si="533"/>
        <v>5224.8</v>
      </c>
      <c r="DR101" s="22">
        <f t="shared" si="533"/>
        <v>3500</v>
      </c>
      <c r="DS101" s="22">
        <f t="shared" si="533"/>
        <v>0</v>
      </c>
      <c r="DT101" s="22">
        <f t="shared" si="533"/>
        <v>0</v>
      </c>
      <c r="DU101" s="22">
        <f t="shared" si="533"/>
        <v>0</v>
      </c>
      <c r="DV101" s="22">
        <f t="shared" si="533"/>
        <v>0</v>
      </c>
      <c r="DW101" s="22">
        <f t="shared" si="533"/>
        <v>0</v>
      </c>
    </row>
    <row r="102" spans="1:130" ht="18.75">
      <c r="A102" s="13">
        <v>10</v>
      </c>
      <c r="B102" s="13"/>
      <c r="C102" s="14"/>
      <c r="D102" s="15" t="s">
        <v>160</v>
      </c>
      <c r="E102" s="16"/>
      <c r="F102" s="81">
        <v>1791.12</v>
      </c>
      <c r="G102" s="81">
        <v>277.14</v>
      </c>
      <c r="H102" s="81">
        <v>1791.12</v>
      </c>
      <c r="I102" s="17">
        <v>277.14</v>
      </c>
      <c r="J102" s="86">
        <v>2310</v>
      </c>
      <c r="K102" s="87">
        <v>0</v>
      </c>
      <c r="L102" s="87">
        <v>0</v>
      </c>
      <c r="M102" s="87">
        <f t="shared" si="478"/>
        <v>2310</v>
      </c>
      <c r="N102" s="87">
        <v>0</v>
      </c>
      <c r="O102" s="87">
        <v>0</v>
      </c>
      <c r="P102" s="87">
        <v>0</v>
      </c>
      <c r="Q102" s="87">
        <f t="shared" si="523"/>
        <v>0</v>
      </c>
      <c r="R102" s="87">
        <f t="shared" si="514"/>
        <v>2310</v>
      </c>
      <c r="S102" s="87">
        <v>350</v>
      </c>
      <c r="V102" s="17">
        <f t="shared" ref="V102:V103" si="534">ROUND(H102*1.0583,2)</f>
        <v>1895.54</v>
      </c>
      <c r="W102" s="17">
        <f t="shared" ref="W102:W103" si="535">ROUND(I102*1.0327,2)</f>
        <v>286.2</v>
      </c>
      <c r="X102" s="108">
        <f t="shared" si="310"/>
        <v>414.46000000000004</v>
      </c>
      <c r="Y102" s="108">
        <f t="shared" si="311"/>
        <v>63.800000000000011</v>
      </c>
      <c r="Z102" s="108">
        <v>1895.54</v>
      </c>
      <c r="AA102" s="108"/>
      <c r="AB102" s="108">
        <f t="shared" si="312"/>
        <v>1895.54</v>
      </c>
      <c r="AC102" s="109">
        <f t="shared" si="313"/>
        <v>0</v>
      </c>
      <c r="AD102" s="108">
        <f t="shared" ref="AD102:AD103" si="536">IF(X102&gt;0,V102,R102)</f>
        <v>1895.54</v>
      </c>
      <c r="AE102" s="108">
        <f t="shared" ref="AE102:AE103" si="537">IF(Y102&gt;0,W102,S102)</f>
        <v>286.2</v>
      </c>
      <c r="AF102" s="108">
        <f t="shared" si="314"/>
        <v>315.77</v>
      </c>
      <c r="AG102" s="108">
        <f t="shared" si="315"/>
        <v>474</v>
      </c>
      <c r="AH102" s="108">
        <f t="shared" si="316"/>
        <v>72</v>
      </c>
      <c r="AI102" s="127">
        <f t="shared" si="317"/>
        <v>158</v>
      </c>
      <c r="AJ102" s="108">
        <f t="shared" si="318"/>
        <v>24</v>
      </c>
      <c r="AM102" s="108">
        <f t="shared" si="319"/>
        <v>473.89</v>
      </c>
      <c r="AN102" s="108">
        <f t="shared" si="320"/>
        <v>69.69</v>
      </c>
      <c r="AQ102" s="108">
        <f t="shared" si="321"/>
        <v>947.89</v>
      </c>
      <c r="AR102" s="108">
        <f t="shared" si="322"/>
        <v>141.69</v>
      </c>
      <c r="AU102" s="108">
        <f t="shared" si="497"/>
        <v>473.89</v>
      </c>
      <c r="AV102" s="108">
        <f t="shared" si="184"/>
        <v>71.55</v>
      </c>
      <c r="AY102" s="108">
        <f t="shared" si="303"/>
        <v>1579.78</v>
      </c>
      <c r="AZ102" s="108">
        <f t="shared" si="304"/>
        <v>237.24</v>
      </c>
      <c r="BA102" s="108">
        <f t="shared" si="305"/>
        <v>1817.02</v>
      </c>
      <c r="BB102" s="139">
        <v>1551.21</v>
      </c>
      <c r="BC102" s="139">
        <v>160.82</v>
      </c>
      <c r="BD102" s="139">
        <f t="shared" si="306"/>
        <v>28.569999999999936</v>
      </c>
      <c r="BE102" s="139">
        <f t="shared" si="307"/>
        <v>76.420000000000016</v>
      </c>
      <c r="BF102" s="139">
        <f t="shared" si="308"/>
        <v>310.24</v>
      </c>
      <c r="BG102" s="139">
        <f t="shared" si="309"/>
        <v>32.159999999999997</v>
      </c>
      <c r="BH102" s="108">
        <v>140.84</v>
      </c>
      <c r="BI102" s="108">
        <v>0</v>
      </c>
      <c r="BL102" s="108">
        <f t="shared" si="332"/>
        <v>1720.62</v>
      </c>
      <c r="BM102" s="108">
        <f t="shared" si="335"/>
        <v>237.24</v>
      </c>
      <c r="BN102" s="108">
        <f t="shared" si="336"/>
        <v>1957.86</v>
      </c>
      <c r="BO102" s="108">
        <v>1709.34</v>
      </c>
      <c r="BP102" s="127">
        <v>226.98</v>
      </c>
      <c r="BQ102" s="108">
        <f t="shared" si="337"/>
        <v>11.279999999999973</v>
      </c>
      <c r="BR102" s="108">
        <f t="shared" si="338"/>
        <v>10.260000000000019</v>
      </c>
      <c r="BS102" s="108">
        <f t="shared" si="339"/>
        <v>155.38999999999999</v>
      </c>
      <c r="BT102" s="108">
        <f t="shared" si="340"/>
        <v>20.63</v>
      </c>
      <c r="BU102" s="108">
        <f t="shared" si="364"/>
        <v>144.11000000000001</v>
      </c>
      <c r="BV102" s="108">
        <v>0</v>
      </c>
      <c r="BW102" s="109">
        <v>10</v>
      </c>
      <c r="BX102" s="108">
        <f>48+0.96</f>
        <v>48.96</v>
      </c>
      <c r="CA102" s="108">
        <v>1874.73</v>
      </c>
      <c r="CB102" s="108">
        <v>286.2</v>
      </c>
      <c r="CC102">
        <v>2062.1999999999998</v>
      </c>
      <c r="CD102">
        <v>329.13</v>
      </c>
      <c r="CE102" s="189">
        <v>172</v>
      </c>
      <c r="CF102" s="189">
        <v>27</v>
      </c>
      <c r="CG102" s="189">
        <f t="shared" si="341"/>
        <v>468.68</v>
      </c>
      <c r="CH102" s="189">
        <f t="shared" si="342"/>
        <v>71.55</v>
      </c>
      <c r="CI102" s="150"/>
      <c r="CJ102" s="150"/>
      <c r="CK102" s="150">
        <v>543</v>
      </c>
      <c r="CL102" s="150">
        <f>120-30</f>
        <v>90</v>
      </c>
      <c r="CM102" s="150"/>
      <c r="CN102" s="150"/>
      <c r="CO102" s="150">
        <v>2180</v>
      </c>
      <c r="CP102" s="150">
        <v>210</v>
      </c>
      <c r="CQ102" s="150">
        <f t="shared" si="343"/>
        <v>2172</v>
      </c>
      <c r="CR102" s="150">
        <f t="shared" si="344"/>
        <v>360</v>
      </c>
      <c r="CS102" s="150">
        <f t="shared" si="345"/>
        <v>2172</v>
      </c>
      <c r="CT102" s="150">
        <f t="shared" si="346"/>
        <v>210</v>
      </c>
      <c r="CU102" s="150">
        <f t="shared" ref="CU102" si="538">IF(CQ102&lt;CS102,CQ102,CS102)</f>
        <v>2172</v>
      </c>
      <c r="CV102" s="150">
        <f t="shared" ref="CV102" si="539">IF(CR102&lt;CT102,CR102,CT102)</f>
        <v>210</v>
      </c>
      <c r="CW102" s="150">
        <f t="shared" si="349"/>
        <v>543</v>
      </c>
      <c r="CX102" s="150">
        <f t="shared" si="366"/>
        <v>52.5</v>
      </c>
      <c r="CY102" s="150"/>
      <c r="CZ102" s="150"/>
      <c r="DA102" s="150">
        <f t="shared" si="350"/>
        <v>1258</v>
      </c>
      <c r="DB102" s="150">
        <f t="shared" si="351"/>
        <v>169.5</v>
      </c>
      <c r="DC102" s="150">
        <v>1167.3599999999999</v>
      </c>
      <c r="DD102" s="150">
        <v>142.22</v>
      </c>
      <c r="DE102" s="150">
        <f t="shared" si="352"/>
        <v>90.6400000000001</v>
      </c>
      <c r="DF102" s="150">
        <f t="shared" si="353"/>
        <v>27.28</v>
      </c>
      <c r="DG102" s="150">
        <f>ROUND(0.25*(MIN(CU102,DO102)),2)</f>
        <v>543</v>
      </c>
      <c r="DH102" s="150">
        <f>ROUND(0.25*(MIN(CV102,DP102)),2)</f>
        <v>52.5</v>
      </c>
      <c r="DI102" s="150">
        <f t="shared" si="354"/>
        <v>452.3599999999999</v>
      </c>
      <c r="DJ102" s="150">
        <f>+DH102-DF102</f>
        <v>25.22</v>
      </c>
      <c r="DK102" s="104">
        <f t="shared" si="165"/>
        <v>461.6400000000001</v>
      </c>
      <c r="DL102" s="104">
        <f t="shared" si="166"/>
        <v>15.280000000000001</v>
      </c>
      <c r="DM102" s="104">
        <f t="shared" si="333"/>
        <v>461.6400000000001</v>
      </c>
      <c r="DN102" s="104">
        <f t="shared" si="334"/>
        <v>15.280000000000001</v>
      </c>
      <c r="DO102" s="104">
        <v>2172</v>
      </c>
      <c r="DP102" s="104">
        <v>210</v>
      </c>
      <c r="DQ102" s="104">
        <v>2600</v>
      </c>
      <c r="DR102" s="104">
        <v>400</v>
      </c>
    </row>
    <row r="103" spans="1:130" ht="37.5">
      <c r="A103" s="13">
        <v>11</v>
      </c>
      <c r="B103" s="13"/>
      <c r="C103" s="14"/>
      <c r="D103" s="15" t="s">
        <v>161</v>
      </c>
      <c r="E103" s="16"/>
      <c r="F103" s="81">
        <v>252.36</v>
      </c>
      <c r="G103" s="81">
        <v>0</v>
      </c>
      <c r="H103" s="81">
        <v>252.36</v>
      </c>
      <c r="I103" s="17">
        <v>0</v>
      </c>
      <c r="J103" s="86">
        <v>288</v>
      </c>
      <c r="K103" s="87">
        <v>0</v>
      </c>
      <c r="L103" s="87">
        <v>0</v>
      </c>
      <c r="M103" s="87">
        <f t="shared" si="478"/>
        <v>288</v>
      </c>
      <c r="N103" s="87">
        <v>0</v>
      </c>
      <c r="O103" s="87">
        <v>0</v>
      </c>
      <c r="P103" s="87">
        <v>0</v>
      </c>
      <c r="Q103" s="87">
        <f t="shared" si="523"/>
        <v>0</v>
      </c>
      <c r="R103" s="87">
        <f t="shared" si="514"/>
        <v>288</v>
      </c>
      <c r="S103" s="87">
        <v>0</v>
      </c>
      <c r="V103" s="17">
        <f t="shared" si="534"/>
        <v>267.07</v>
      </c>
      <c r="W103" s="17">
        <f t="shared" si="535"/>
        <v>0</v>
      </c>
      <c r="X103" s="108">
        <f t="shared" si="310"/>
        <v>20.930000000000007</v>
      </c>
      <c r="Y103" s="108">
        <f t="shared" si="311"/>
        <v>0</v>
      </c>
      <c r="Z103" s="108">
        <v>267.07</v>
      </c>
      <c r="AA103" s="108"/>
      <c r="AB103" s="108">
        <f t="shared" si="312"/>
        <v>267.07</v>
      </c>
      <c r="AC103" s="109">
        <f t="shared" si="313"/>
        <v>0</v>
      </c>
      <c r="AD103" s="108">
        <f t="shared" si="536"/>
        <v>267.07</v>
      </c>
      <c r="AE103" s="108">
        <f t="shared" si="537"/>
        <v>0</v>
      </c>
      <c r="AF103" s="108">
        <f t="shared" si="314"/>
        <v>0</v>
      </c>
      <c r="AG103" s="108">
        <f t="shared" si="315"/>
        <v>67</v>
      </c>
      <c r="AH103" s="108">
        <f t="shared" si="316"/>
        <v>0</v>
      </c>
      <c r="AI103" s="127">
        <f t="shared" si="317"/>
        <v>22</v>
      </c>
      <c r="AJ103" s="108">
        <f t="shared" si="318"/>
        <v>0</v>
      </c>
      <c r="AM103" s="108">
        <f t="shared" si="319"/>
        <v>66.77</v>
      </c>
      <c r="AN103" s="108">
        <f t="shared" si="320"/>
        <v>0</v>
      </c>
      <c r="AQ103" s="108">
        <f t="shared" si="321"/>
        <v>133.76999999999998</v>
      </c>
      <c r="AR103" s="108">
        <f t="shared" si="322"/>
        <v>0</v>
      </c>
      <c r="AU103" s="108">
        <f t="shared" si="497"/>
        <v>66.77</v>
      </c>
      <c r="AV103" s="108">
        <f t="shared" si="184"/>
        <v>0</v>
      </c>
      <c r="AY103" s="108">
        <f t="shared" si="303"/>
        <v>222.53999999999996</v>
      </c>
      <c r="AZ103" s="108">
        <f t="shared" si="304"/>
        <v>0</v>
      </c>
      <c r="BA103" s="108">
        <f t="shared" si="305"/>
        <v>222.53999999999996</v>
      </c>
      <c r="BB103" s="139">
        <v>222.54</v>
      </c>
      <c r="BD103" s="139">
        <f t="shared" si="306"/>
        <v>0</v>
      </c>
      <c r="BE103" s="139">
        <f t="shared" si="307"/>
        <v>0</v>
      </c>
      <c r="BF103" s="139">
        <f t="shared" si="308"/>
        <v>44.51</v>
      </c>
      <c r="BG103" s="139">
        <f t="shared" si="309"/>
        <v>0</v>
      </c>
      <c r="BH103" s="108">
        <v>22.26</v>
      </c>
      <c r="BI103" s="108">
        <v>0</v>
      </c>
      <c r="BL103" s="108">
        <f t="shared" si="332"/>
        <v>244.79999999999995</v>
      </c>
      <c r="BM103" s="108">
        <f t="shared" si="335"/>
        <v>0</v>
      </c>
      <c r="BN103" s="108">
        <f t="shared" si="336"/>
        <v>244.79999999999995</v>
      </c>
      <c r="BO103" s="108">
        <v>222.54</v>
      </c>
      <c r="BP103" s="127"/>
      <c r="BQ103" s="108">
        <f t="shared" si="337"/>
        <v>22.259999999999962</v>
      </c>
      <c r="BR103" s="108">
        <f t="shared" si="338"/>
        <v>0</v>
      </c>
      <c r="BS103" s="108">
        <f t="shared" si="339"/>
        <v>20.23</v>
      </c>
      <c r="BT103" s="108">
        <f t="shared" si="340"/>
        <v>0</v>
      </c>
      <c r="BU103" s="108">
        <v>0</v>
      </c>
      <c r="BV103" s="108">
        <f t="shared" si="510"/>
        <v>0</v>
      </c>
      <c r="BW103" s="108">
        <v>25</v>
      </c>
      <c r="CA103" s="108">
        <v>269.79999999999995</v>
      </c>
      <c r="CB103" s="108">
        <v>0</v>
      </c>
      <c r="CC103">
        <v>296.77999999999997</v>
      </c>
      <c r="CD103">
        <v>0</v>
      </c>
      <c r="CE103" s="189">
        <v>25</v>
      </c>
      <c r="CF103" s="189">
        <v>0</v>
      </c>
      <c r="CG103" s="189">
        <f t="shared" si="341"/>
        <v>67.45</v>
      </c>
      <c r="CH103" s="189">
        <f t="shared" si="342"/>
        <v>0</v>
      </c>
      <c r="CI103" s="150"/>
      <c r="CJ103" s="150"/>
      <c r="CK103" s="150">
        <v>75</v>
      </c>
      <c r="CL103" s="150"/>
      <c r="CM103" s="150"/>
      <c r="CN103" s="150"/>
      <c r="CO103" s="150">
        <v>300</v>
      </c>
      <c r="CP103" s="150"/>
      <c r="CQ103" s="150">
        <f t="shared" si="343"/>
        <v>300</v>
      </c>
      <c r="CR103" s="150">
        <f t="shared" si="344"/>
        <v>0</v>
      </c>
      <c r="CS103" s="150">
        <f t="shared" si="345"/>
        <v>300</v>
      </c>
      <c r="CT103" s="150">
        <f t="shared" si="346"/>
        <v>0</v>
      </c>
      <c r="CU103" s="150">
        <v>325</v>
      </c>
      <c r="CV103" s="150">
        <v>0</v>
      </c>
      <c r="CW103" s="150">
        <f t="shared" si="349"/>
        <v>81.25</v>
      </c>
      <c r="CX103" s="150">
        <f t="shared" si="366"/>
        <v>0</v>
      </c>
      <c r="CY103" s="150"/>
      <c r="CZ103" s="150"/>
      <c r="DA103" s="150">
        <f t="shared" si="350"/>
        <v>181.25</v>
      </c>
      <c r="DB103" s="150">
        <f t="shared" si="351"/>
        <v>0</v>
      </c>
      <c r="DC103" s="150">
        <v>181.25</v>
      </c>
      <c r="DD103" s="150">
        <v>0</v>
      </c>
      <c r="DE103" s="150">
        <f t="shared" si="352"/>
        <v>0</v>
      </c>
      <c r="DF103" s="150">
        <f t="shared" si="353"/>
        <v>0</v>
      </c>
      <c r="DG103" s="150">
        <f>ROUND(0.25*(MIN(CU103,DO103)),2)</f>
        <v>81.25</v>
      </c>
      <c r="DH103" s="150">
        <f>ROUND(0.25*(MIN(CV103,DP103)),2)</f>
        <v>0</v>
      </c>
      <c r="DI103" s="150">
        <f t="shared" si="354"/>
        <v>81.25</v>
      </c>
      <c r="DJ103" s="150">
        <f>+DH103-DF103</f>
        <v>0</v>
      </c>
      <c r="DK103" s="104">
        <f t="shared" si="165"/>
        <v>62.5</v>
      </c>
      <c r="DL103" s="104">
        <f t="shared" si="166"/>
        <v>0</v>
      </c>
      <c r="DM103" s="104">
        <f t="shared" si="333"/>
        <v>62.5</v>
      </c>
      <c r="DN103" s="104">
        <f t="shared" si="334"/>
        <v>0</v>
      </c>
      <c r="DO103" s="179">
        <v>325</v>
      </c>
      <c r="DP103" s="104">
        <v>0</v>
      </c>
      <c r="DQ103" s="104">
        <v>300</v>
      </c>
      <c r="DR103" s="104">
        <v>0</v>
      </c>
    </row>
    <row r="104" spans="1:130" ht="18.75">
      <c r="A104" s="18"/>
      <c r="B104" s="18" t="s">
        <v>162</v>
      </c>
      <c r="C104" s="19" t="s">
        <v>153</v>
      </c>
      <c r="D104" s="20" t="s">
        <v>160</v>
      </c>
      <c r="E104" s="21" t="s">
        <v>163</v>
      </c>
      <c r="F104" s="22">
        <v>2043.48</v>
      </c>
      <c r="G104" s="22">
        <v>277.14</v>
      </c>
      <c r="H104" s="22">
        <v>2043.48</v>
      </c>
      <c r="I104" s="22">
        <v>277.14</v>
      </c>
      <c r="J104" s="88">
        <f t="shared" ref="J104:AA104" si="540">+J102+J103</f>
        <v>2598</v>
      </c>
      <c r="K104" s="88">
        <f t="shared" si="540"/>
        <v>0</v>
      </c>
      <c r="L104" s="88">
        <f t="shared" si="540"/>
        <v>0</v>
      </c>
      <c r="M104" s="88">
        <f t="shared" si="540"/>
        <v>2598</v>
      </c>
      <c r="N104" s="88">
        <f t="shared" si="540"/>
        <v>0</v>
      </c>
      <c r="O104" s="88">
        <f t="shared" si="540"/>
        <v>0</v>
      </c>
      <c r="P104" s="88">
        <f t="shared" si="540"/>
        <v>0</v>
      </c>
      <c r="Q104" s="88">
        <f t="shared" si="540"/>
        <v>0</v>
      </c>
      <c r="R104" s="88">
        <f t="shared" si="540"/>
        <v>2598</v>
      </c>
      <c r="S104" s="88">
        <f t="shared" si="540"/>
        <v>350</v>
      </c>
      <c r="T104" s="88">
        <f t="shared" si="540"/>
        <v>0</v>
      </c>
      <c r="U104" s="88">
        <f t="shared" si="540"/>
        <v>0</v>
      </c>
      <c r="V104" s="88">
        <f t="shared" si="540"/>
        <v>2162.61</v>
      </c>
      <c r="W104" s="88">
        <f t="shared" si="540"/>
        <v>286.2</v>
      </c>
      <c r="X104" s="88">
        <f t="shared" si="540"/>
        <v>435.39000000000004</v>
      </c>
      <c r="Y104" s="88">
        <f t="shared" si="540"/>
        <v>63.800000000000011</v>
      </c>
      <c r="Z104" s="88">
        <f t="shared" si="540"/>
        <v>2162.61</v>
      </c>
      <c r="AA104" s="88">
        <f t="shared" si="540"/>
        <v>0</v>
      </c>
      <c r="AB104" s="22">
        <f t="shared" si="312"/>
        <v>2162.61</v>
      </c>
      <c r="AC104" s="109">
        <f t="shared" si="313"/>
        <v>0</v>
      </c>
      <c r="AD104" s="22">
        <f t="shared" ref="AD104:CP104" si="541">+AD102+AD103</f>
        <v>2162.61</v>
      </c>
      <c r="AE104" s="22">
        <f t="shared" si="541"/>
        <v>286.2</v>
      </c>
      <c r="AF104" s="22">
        <f t="shared" si="541"/>
        <v>315.77</v>
      </c>
      <c r="AG104" s="22">
        <f t="shared" si="541"/>
        <v>541</v>
      </c>
      <c r="AH104" s="22">
        <f t="shared" si="541"/>
        <v>72</v>
      </c>
      <c r="AI104" s="118">
        <f t="shared" si="541"/>
        <v>180</v>
      </c>
      <c r="AJ104" s="22">
        <f t="shared" si="541"/>
        <v>24</v>
      </c>
      <c r="AK104" s="22">
        <f t="shared" si="541"/>
        <v>0</v>
      </c>
      <c r="AL104" s="22">
        <f t="shared" si="541"/>
        <v>0</v>
      </c>
      <c r="AM104" s="22">
        <f t="shared" si="541"/>
        <v>540.66</v>
      </c>
      <c r="AN104" s="22">
        <f t="shared" si="541"/>
        <v>69.69</v>
      </c>
      <c r="AO104" s="22">
        <f t="shared" si="541"/>
        <v>0</v>
      </c>
      <c r="AP104" s="22">
        <f t="shared" si="541"/>
        <v>0</v>
      </c>
      <c r="AQ104" s="22">
        <f t="shared" si="541"/>
        <v>1081.6599999999999</v>
      </c>
      <c r="AR104" s="22">
        <f t="shared" si="541"/>
        <v>141.69</v>
      </c>
      <c r="AS104" s="22">
        <f t="shared" si="541"/>
        <v>0</v>
      </c>
      <c r="AT104" s="22">
        <f t="shared" si="541"/>
        <v>0</v>
      </c>
      <c r="AU104" s="22">
        <f t="shared" si="541"/>
        <v>540.66</v>
      </c>
      <c r="AV104" s="22">
        <f t="shared" si="541"/>
        <v>71.55</v>
      </c>
      <c r="AW104" s="22">
        <f t="shared" si="541"/>
        <v>0</v>
      </c>
      <c r="AX104" s="22">
        <f t="shared" si="541"/>
        <v>0</v>
      </c>
      <c r="AY104" s="22">
        <f t="shared" si="541"/>
        <v>1802.32</v>
      </c>
      <c r="AZ104" s="22">
        <f t="shared" si="541"/>
        <v>237.24</v>
      </c>
      <c r="BA104" s="22">
        <f t="shared" si="541"/>
        <v>2039.56</v>
      </c>
      <c r="BB104" s="22">
        <f t="shared" si="541"/>
        <v>1773.75</v>
      </c>
      <c r="BC104" s="22">
        <f t="shared" si="541"/>
        <v>160.82</v>
      </c>
      <c r="BD104" s="22">
        <f t="shared" si="541"/>
        <v>28.569999999999936</v>
      </c>
      <c r="BE104" s="22">
        <f t="shared" si="541"/>
        <v>76.420000000000016</v>
      </c>
      <c r="BF104" s="22">
        <f t="shared" si="541"/>
        <v>354.75</v>
      </c>
      <c r="BG104" s="118">
        <f t="shared" si="541"/>
        <v>32.159999999999997</v>
      </c>
      <c r="BH104" s="118">
        <f t="shared" si="541"/>
        <v>163.1</v>
      </c>
      <c r="BI104" s="118">
        <f t="shared" si="541"/>
        <v>0</v>
      </c>
      <c r="BJ104" s="118">
        <f t="shared" si="541"/>
        <v>0</v>
      </c>
      <c r="BK104" s="118">
        <f t="shared" si="541"/>
        <v>0</v>
      </c>
      <c r="BL104" s="118">
        <f t="shared" si="541"/>
        <v>1965.4199999999998</v>
      </c>
      <c r="BM104" s="118">
        <f t="shared" si="541"/>
        <v>237.24</v>
      </c>
      <c r="BN104" s="118">
        <f t="shared" si="541"/>
        <v>2202.66</v>
      </c>
      <c r="BO104" s="118">
        <f t="shared" si="541"/>
        <v>1931.8799999999999</v>
      </c>
      <c r="BP104" s="118">
        <f t="shared" si="541"/>
        <v>226.98</v>
      </c>
      <c r="BQ104" s="22">
        <f t="shared" si="541"/>
        <v>33.539999999999935</v>
      </c>
      <c r="BR104" s="22">
        <f t="shared" si="541"/>
        <v>10.260000000000019</v>
      </c>
      <c r="BS104" s="22">
        <f t="shared" si="541"/>
        <v>175.61999999999998</v>
      </c>
      <c r="BT104" s="22">
        <f t="shared" si="541"/>
        <v>20.63</v>
      </c>
      <c r="BU104" s="22">
        <f t="shared" si="541"/>
        <v>144.11000000000001</v>
      </c>
      <c r="BV104" s="22">
        <f t="shared" si="541"/>
        <v>0</v>
      </c>
      <c r="BW104" s="22">
        <f t="shared" si="541"/>
        <v>35</v>
      </c>
      <c r="BX104" s="22">
        <f t="shared" si="541"/>
        <v>48.96</v>
      </c>
      <c r="BY104" s="22">
        <f t="shared" si="541"/>
        <v>0</v>
      </c>
      <c r="BZ104" s="22">
        <f t="shared" si="541"/>
        <v>0</v>
      </c>
      <c r="CA104" s="22">
        <f t="shared" si="541"/>
        <v>2144.5299999999997</v>
      </c>
      <c r="CB104" s="22">
        <f t="shared" si="541"/>
        <v>286.2</v>
      </c>
      <c r="CC104" s="22">
        <f t="shared" si="541"/>
        <v>2358.9799999999996</v>
      </c>
      <c r="CD104" s="118">
        <f t="shared" si="541"/>
        <v>329.13</v>
      </c>
      <c r="CE104" s="190">
        <f t="shared" si="541"/>
        <v>197</v>
      </c>
      <c r="CF104" s="190">
        <f t="shared" si="541"/>
        <v>27</v>
      </c>
      <c r="CG104" s="190">
        <f t="shared" si="541"/>
        <v>536.13</v>
      </c>
      <c r="CH104" s="190">
        <f t="shared" si="541"/>
        <v>71.55</v>
      </c>
      <c r="CI104" s="190">
        <f t="shared" si="541"/>
        <v>0</v>
      </c>
      <c r="CJ104" s="190">
        <f t="shared" si="541"/>
        <v>0</v>
      </c>
      <c r="CK104" s="190">
        <f t="shared" si="541"/>
        <v>618</v>
      </c>
      <c r="CL104" s="190">
        <f t="shared" si="541"/>
        <v>90</v>
      </c>
      <c r="CM104" s="190">
        <f t="shared" si="541"/>
        <v>0</v>
      </c>
      <c r="CN104" s="190">
        <f t="shared" si="541"/>
        <v>0</v>
      </c>
      <c r="CO104" s="190">
        <f t="shared" si="541"/>
        <v>2480</v>
      </c>
      <c r="CP104" s="190">
        <f t="shared" si="541"/>
        <v>210</v>
      </c>
      <c r="CQ104" s="190">
        <f t="shared" ref="CQ104:DP104" si="542">+CQ102+CQ103</f>
        <v>2472</v>
      </c>
      <c r="CR104" s="190">
        <f t="shared" si="542"/>
        <v>360</v>
      </c>
      <c r="CS104" s="190">
        <f t="shared" si="542"/>
        <v>2472</v>
      </c>
      <c r="CT104" s="190">
        <f t="shared" si="542"/>
        <v>210</v>
      </c>
      <c r="CU104" s="190">
        <f t="shared" si="542"/>
        <v>2497</v>
      </c>
      <c r="CV104" s="190">
        <f t="shared" si="542"/>
        <v>210</v>
      </c>
      <c r="CW104" s="190">
        <f t="shared" si="542"/>
        <v>624.25</v>
      </c>
      <c r="CX104" s="190">
        <f t="shared" si="542"/>
        <v>52.5</v>
      </c>
      <c r="CY104" s="190">
        <f t="shared" si="542"/>
        <v>0</v>
      </c>
      <c r="CZ104" s="190">
        <f t="shared" si="542"/>
        <v>0</v>
      </c>
      <c r="DA104" s="190">
        <f t="shared" si="542"/>
        <v>1439.25</v>
      </c>
      <c r="DB104" s="190">
        <f t="shared" si="542"/>
        <v>169.5</v>
      </c>
      <c r="DC104" s="190">
        <f t="shared" si="542"/>
        <v>1348.61</v>
      </c>
      <c r="DD104" s="190">
        <f t="shared" si="542"/>
        <v>142.22</v>
      </c>
      <c r="DE104" s="190">
        <f t="shared" si="542"/>
        <v>90.6400000000001</v>
      </c>
      <c r="DF104" s="190">
        <f t="shared" si="542"/>
        <v>27.28</v>
      </c>
      <c r="DG104" s="190">
        <f t="shared" si="542"/>
        <v>624.25</v>
      </c>
      <c r="DH104" s="190">
        <f t="shared" si="542"/>
        <v>52.5</v>
      </c>
      <c r="DI104" s="190">
        <f t="shared" si="542"/>
        <v>533.6099999999999</v>
      </c>
      <c r="DJ104" s="190">
        <f t="shared" si="542"/>
        <v>25.22</v>
      </c>
      <c r="DK104" s="104">
        <f t="shared" si="165"/>
        <v>524.1400000000001</v>
      </c>
      <c r="DL104" s="104">
        <f t="shared" si="166"/>
        <v>15.280000000000001</v>
      </c>
      <c r="DM104" s="104">
        <f t="shared" si="333"/>
        <v>524.1400000000001</v>
      </c>
      <c r="DN104" s="104">
        <f t="shared" si="334"/>
        <v>15.280000000000001</v>
      </c>
      <c r="DO104" s="22">
        <f t="shared" si="542"/>
        <v>2497</v>
      </c>
      <c r="DP104" s="22">
        <f t="shared" si="542"/>
        <v>210</v>
      </c>
      <c r="DQ104" s="22">
        <f t="shared" ref="DQ104:DV104" si="543">+DQ102+DQ103</f>
        <v>2900</v>
      </c>
      <c r="DR104" s="22">
        <f t="shared" si="543"/>
        <v>400</v>
      </c>
      <c r="DS104" s="22">
        <f t="shared" si="543"/>
        <v>0</v>
      </c>
      <c r="DT104" s="22">
        <f t="shared" si="543"/>
        <v>0</v>
      </c>
      <c r="DU104" s="22">
        <f t="shared" si="543"/>
        <v>0</v>
      </c>
      <c r="DV104" s="22">
        <f t="shared" si="543"/>
        <v>0</v>
      </c>
    </row>
    <row r="105" spans="1:130" ht="18.75">
      <c r="A105" s="13">
        <v>12</v>
      </c>
      <c r="B105" s="13"/>
      <c r="C105" s="14"/>
      <c r="D105" s="15" t="s">
        <v>164</v>
      </c>
      <c r="E105" s="16"/>
      <c r="F105" s="81">
        <v>5520.0999999999985</v>
      </c>
      <c r="G105" s="81">
        <v>3447.08</v>
      </c>
      <c r="H105" s="81">
        <v>5520.0999999999985</v>
      </c>
      <c r="I105" s="17">
        <v>3497.08</v>
      </c>
      <c r="J105" s="86">
        <v>6900</v>
      </c>
      <c r="K105" s="87">
        <v>0</v>
      </c>
      <c r="L105" s="87">
        <v>0</v>
      </c>
      <c r="M105" s="87">
        <f t="shared" si="478"/>
        <v>6900</v>
      </c>
      <c r="N105" s="87">
        <v>0</v>
      </c>
      <c r="O105" s="87">
        <v>0</v>
      </c>
      <c r="P105" s="87">
        <v>0</v>
      </c>
      <c r="Q105" s="87">
        <f t="shared" ref="Q105:Q106" si="544">N105+O105+P105</f>
        <v>0</v>
      </c>
      <c r="R105" s="87">
        <f t="shared" si="514"/>
        <v>6900</v>
      </c>
      <c r="S105" s="87">
        <v>4200</v>
      </c>
      <c r="V105" s="17">
        <f t="shared" ref="V105:V106" si="545">ROUND(H105*1.0583,2)</f>
        <v>5841.92</v>
      </c>
      <c r="W105" s="17">
        <f t="shared" ref="W105:W106" si="546">ROUND(I105*1.0327,2)</f>
        <v>3611.43</v>
      </c>
      <c r="X105" s="108">
        <f t="shared" si="310"/>
        <v>1058.08</v>
      </c>
      <c r="Y105" s="108">
        <f t="shared" si="311"/>
        <v>588.57000000000016</v>
      </c>
      <c r="Z105" s="108">
        <v>5841.92</v>
      </c>
      <c r="AA105" s="108"/>
      <c r="AB105" s="108">
        <f t="shared" si="312"/>
        <v>5841.92</v>
      </c>
      <c r="AC105" s="109">
        <f t="shared" si="313"/>
        <v>0</v>
      </c>
      <c r="AD105" s="108">
        <f t="shared" ref="AD105:AD106" si="547">IF(X105&gt;0,V105,R105)</f>
        <v>5841.92</v>
      </c>
      <c r="AE105" s="108">
        <f t="shared" ref="AE105:AE106" si="548">IF(Y105&gt;0,W105,S105)</f>
        <v>3611.43</v>
      </c>
      <c r="AF105" s="108">
        <f t="shared" si="314"/>
        <v>3789.24</v>
      </c>
      <c r="AG105" s="108">
        <f t="shared" si="315"/>
        <v>1460</v>
      </c>
      <c r="AH105" s="108">
        <f t="shared" si="316"/>
        <v>903</v>
      </c>
      <c r="AI105" s="127">
        <f t="shared" si="317"/>
        <v>487</v>
      </c>
      <c r="AJ105" s="108">
        <f t="shared" si="318"/>
        <v>301</v>
      </c>
      <c r="AL105" s="143">
        <v>300</v>
      </c>
      <c r="AM105" s="108">
        <f t="shared" si="319"/>
        <v>1460.48</v>
      </c>
      <c r="AN105" s="108">
        <f t="shared" si="320"/>
        <v>879.38</v>
      </c>
      <c r="AQ105" s="108">
        <f t="shared" si="321"/>
        <v>2920.48</v>
      </c>
      <c r="AR105" s="108">
        <f t="shared" si="322"/>
        <v>2082.38</v>
      </c>
      <c r="AU105" s="108">
        <f t="shared" si="497"/>
        <v>1460.48</v>
      </c>
      <c r="AV105" s="108">
        <f t="shared" si="184"/>
        <v>902.86</v>
      </c>
      <c r="AY105" s="108">
        <f t="shared" si="303"/>
        <v>4867.96</v>
      </c>
      <c r="AZ105" s="108">
        <f t="shared" si="304"/>
        <v>3286.2400000000002</v>
      </c>
      <c r="BA105" s="108">
        <f t="shared" si="305"/>
        <v>8154.2000000000007</v>
      </c>
      <c r="BB105" s="139">
        <v>4851.8</v>
      </c>
      <c r="BC105" s="139">
        <v>3308</v>
      </c>
      <c r="BD105" s="139">
        <f t="shared" si="306"/>
        <v>16.159999999999854</v>
      </c>
      <c r="BE105" s="139">
        <f t="shared" si="307"/>
        <v>-21.759999999999764</v>
      </c>
      <c r="BF105" s="139">
        <f t="shared" si="308"/>
        <v>970.36</v>
      </c>
      <c r="BG105" s="139">
        <f t="shared" si="309"/>
        <v>661.6</v>
      </c>
      <c r="BH105" s="108">
        <v>477.1</v>
      </c>
      <c r="BI105" s="108">
        <v>300</v>
      </c>
      <c r="BL105" s="108">
        <f t="shared" si="332"/>
        <v>5345.06</v>
      </c>
      <c r="BM105" s="108">
        <f t="shared" si="335"/>
        <v>3586.2400000000002</v>
      </c>
      <c r="BN105" s="108">
        <f t="shared" si="336"/>
        <v>8931.3000000000011</v>
      </c>
      <c r="BO105" s="108">
        <v>5384.74</v>
      </c>
      <c r="BP105" s="127">
        <v>3825.36</v>
      </c>
      <c r="BQ105" s="108">
        <f t="shared" si="337"/>
        <v>-39.679999999999382</v>
      </c>
      <c r="BR105" s="108">
        <f t="shared" si="338"/>
        <v>-239.11999999999989</v>
      </c>
      <c r="BS105" s="108">
        <f t="shared" si="339"/>
        <v>489.52</v>
      </c>
      <c r="BT105" s="108">
        <f t="shared" si="340"/>
        <v>347.76</v>
      </c>
      <c r="BU105" s="108">
        <v>529.20000000000005</v>
      </c>
      <c r="BV105" s="108">
        <f t="shared" si="510"/>
        <v>586.88</v>
      </c>
      <c r="BX105" s="108">
        <f>200+187.03</f>
        <v>387.03</v>
      </c>
      <c r="CA105" s="108">
        <v>5874.26</v>
      </c>
      <c r="CB105" s="108">
        <v>4560.1499999999996</v>
      </c>
      <c r="CC105">
        <v>6461.69</v>
      </c>
      <c r="CD105">
        <v>5244.17</v>
      </c>
      <c r="CE105" s="189">
        <v>538</v>
      </c>
      <c r="CF105" s="189">
        <v>437</v>
      </c>
      <c r="CG105" s="189">
        <f t="shared" si="341"/>
        <v>1468.57</v>
      </c>
      <c r="CH105" s="189">
        <f t="shared" si="342"/>
        <v>1140.04</v>
      </c>
      <c r="CI105" s="150"/>
      <c r="CJ105" s="150"/>
      <c r="CK105" s="150">
        <v>1625</v>
      </c>
      <c r="CL105" s="150">
        <f>1337-150</f>
        <v>1187</v>
      </c>
      <c r="CM105" s="150"/>
      <c r="CN105" s="150"/>
      <c r="CO105" s="150">
        <v>6500</v>
      </c>
      <c r="CP105" s="150">
        <v>4500</v>
      </c>
      <c r="CQ105" s="150">
        <f t="shared" si="343"/>
        <v>6500</v>
      </c>
      <c r="CR105" s="150">
        <f t="shared" si="344"/>
        <v>4748</v>
      </c>
      <c r="CS105" s="150">
        <f t="shared" si="345"/>
        <v>6500</v>
      </c>
      <c r="CT105" s="150">
        <f t="shared" si="346"/>
        <v>4500</v>
      </c>
      <c r="CU105" s="150">
        <f t="shared" ref="CU105:CU106" si="549">IF(CQ105&lt;CS105,CQ105,CS105)</f>
        <v>6500</v>
      </c>
      <c r="CV105" s="150">
        <f t="shared" ref="CV105:CV106" si="550">IF(CR105&lt;CT105,CR105,CT105)</f>
        <v>4500</v>
      </c>
      <c r="CW105" s="150">
        <f t="shared" si="349"/>
        <v>1625</v>
      </c>
      <c r="CX105" s="150">
        <f t="shared" si="366"/>
        <v>1125</v>
      </c>
      <c r="CY105" s="150"/>
      <c r="CZ105" s="150"/>
      <c r="DA105" s="150">
        <f t="shared" si="350"/>
        <v>3788</v>
      </c>
      <c r="DB105" s="150">
        <f t="shared" si="351"/>
        <v>2749</v>
      </c>
      <c r="DC105" s="150">
        <v>3660.89</v>
      </c>
      <c r="DD105" s="150">
        <v>2309.38</v>
      </c>
      <c r="DE105" s="150">
        <f t="shared" si="352"/>
        <v>127.11000000000013</v>
      </c>
      <c r="DF105" s="150">
        <f t="shared" si="353"/>
        <v>439.61999999999989</v>
      </c>
      <c r="DG105" s="150">
        <f>ROUND(0.25*(MIN(CU105,DO105)),2)</f>
        <v>1625</v>
      </c>
      <c r="DH105" s="150">
        <f>ROUND(0.25*(MIN(CV105,DP105)),2)</f>
        <v>1125</v>
      </c>
      <c r="DI105" s="150">
        <f t="shared" si="354"/>
        <v>1497.8899999999999</v>
      </c>
      <c r="DJ105" s="150">
        <f>+DH105-DF105</f>
        <v>685.38000000000011</v>
      </c>
      <c r="DK105" s="104">
        <f t="shared" si="165"/>
        <v>1214.1100000000001</v>
      </c>
      <c r="DL105" s="104">
        <f t="shared" si="166"/>
        <v>1565.62</v>
      </c>
      <c r="DM105" s="104">
        <f t="shared" si="333"/>
        <v>1214.1100000000001</v>
      </c>
      <c r="DN105" s="104">
        <f t="shared" si="334"/>
        <v>1065.6199999999999</v>
      </c>
      <c r="DO105" s="104">
        <v>6500</v>
      </c>
      <c r="DP105" s="104">
        <v>5000</v>
      </c>
      <c r="DQ105" s="104">
        <v>7000</v>
      </c>
      <c r="DR105" s="104">
        <v>5500</v>
      </c>
    </row>
    <row r="106" spans="1:130" ht="18.75">
      <c r="A106" s="13">
        <v>13</v>
      </c>
      <c r="B106" s="13"/>
      <c r="C106" s="14"/>
      <c r="D106" s="15" t="s">
        <v>165</v>
      </c>
      <c r="E106" s="16"/>
      <c r="F106" s="81">
        <v>1675.5800000000002</v>
      </c>
      <c r="G106" s="81">
        <v>0</v>
      </c>
      <c r="H106" s="81">
        <v>1600.0000000000002</v>
      </c>
      <c r="I106" s="17">
        <v>0</v>
      </c>
      <c r="J106" s="86">
        <v>1550</v>
      </c>
      <c r="K106" s="87">
        <v>0</v>
      </c>
      <c r="L106" s="87">
        <v>0</v>
      </c>
      <c r="M106" s="87">
        <f t="shared" si="478"/>
        <v>1550</v>
      </c>
      <c r="N106" s="87">
        <v>180</v>
      </c>
      <c r="O106" s="87">
        <v>0</v>
      </c>
      <c r="P106" s="87">
        <v>0</v>
      </c>
      <c r="Q106" s="87">
        <f t="shared" si="544"/>
        <v>180</v>
      </c>
      <c r="R106" s="87">
        <f t="shared" si="514"/>
        <v>1730</v>
      </c>
      <c r="S106" s="87">
        <v>0</v>
      </c>
      <c r="V106" s="17">
        <f t="shared" si="545"/>
        <v>1693.28</v>
      </c>
      <c r="W106" s="17">
        <f t="shared" si="546"/>
        <v>0</v>
      </c>
      <c r="X106" s="108">
        <f t="shared" si="310"/>
        <v>36.720000000000027</v>
      </c>
      <c r="Y106" s="108">
        <f t="shared" si="311"/>
        <v>0</v>
      </c>
      <c r="Z106" s="108">
        <v>1538.28</v>
      </c>
      <c r="AA106" s="108">
        <v>155</v>
      </c>
      <c r="AB106" s="108">
        <f t="shared" si="312"/>
        <v>1693.28</v>
      </c>
      <c r="AC106" s="109">
        <f t="shared" si="313"/>
        <v>0</v>
      </c>
      <c r="AD106" s="108">
        <f t="shared" si="547"/>
        <v>1693.28</v>
      </c>
      <c r="AE106" s="108">
        <f t="shared" si="548"/>
        <v>0</v>
      </c>
      <c r="AF106" s="108">
        <f t="shared" si="314"/>
        <v>0</v>
      </c>
      <c r="AG106" s="108">
        <f t="shared" si="315"/>
        <v>423</v>
      </c>
      <c r="AH106" s="108">
        <f t="shared" si="316"/>
        <v>0</v>
      </c>
      <c r="AI106" s="127">
        <f t="shared" si="317"/>
        <v>141</v>
      </c>
      <c r="AJ106" s="108">
        <f t="shared" si="318"/>
        <v>0</v>
      </c>
      <c r="AM106" s="108">
        <f t="shared" si="319"/>
        <v>423.32</v>
      </c>
      <c r="AN106" s="108">
        <f t="shared" si="320"/>
        <v>0</v>
      </c>
      <c r="AQ106" s="108">
        <f t="shared" si="321"/>
        <v>846.31999999999994</v>
      </c>
      <c r="AR106" s="108">
        <f t="shared" si="322"/>
        <v>0</v>
      </c>
      <c r="AU106" s="108">
        <f t="shared" si="497"/>
        <v>423.32</v>
      </c>
      <c r="AV106" s="108">
        <f t="shared" si="184"/>
        <v>0</v>
      </c>
      <c r="AY106" s="108">
        <f t="shared" si="303"/>
        <v>1410.6399999999999</v>
      </c>
      <c r="AZ106" s="108">
        <f t="shared" si="304"/>
        <v>0</v>
      </c>
      <c r="BA106" s="108">
        <f t="shared" si="305"/>
        <v>1410.6399999999999</v>
      </c>
      <c r="BB106" s="139">
        <v>1414.14</v>
      </c>
      <c r="BD106" s="139">
        <f t="shared" si="306"/>
        <v>-3.5000000000002274</v>
      </c>
      <c r="BE106" s="139">
        <f t="shared" si="307"/>
        <v>0</v>
      </c>
      <c r="BF106" s="139">
        <f t="shared" si="308"/>
        <v>282.83</v>
      </c>
      <c r="BG106" s="139">
        <f t="shared" si="309"/>
        <v>0</v>
      </c>
      <c r="BH106" s="108">
        <v>141.18</v>
      </c>
      <c r="BI106" s="108">
        <v>0</v>
      </c>
      <c r="BL106" s="108">
        <f t="shared" si="332"/>
        <v>1551.82</v>
      </c>
      <c r="BM106" s="108">
        <f t="shared" si="335"/>
        <v>0</v>
      </c>
      <c r="BN106" s="108">
        <f t="shared" si="336"/>
        <v>1551.82</v>
      </c>
      <c r="BO106" s="108">
        <v>1414.14</v>
      </c>
      <c r="BP106" s="127"/>
      <c r="BQ106" s="108">
        <f t="shared" si="337"/>
        <v>137.67999999999984</v>
      </c>
      <c r="BR106" s="108">
        <f t="shared" si="338"/>
        <v>0</v>
      </c>
      <c r="BS106" s="108">
        <f t="shared" si="339"/>
        <v>128.56</v>
      </c>
      <c r="BT106" s="108">
        <f t="shared" si="340"/>
        <v>0</v>
      </c>
      <c r="BU106" s="108">
        <v>0</v>
      </c>
      <c r="BV106" s="108">
        <f t="shared" si="510"/>
        <v>0</v>
      </c>
      <c r="BW106" s="108">
        <v>141</v>
      </c>
      <c r="CA106" s="108">
        <v>1692.82</v>
      </c>
      <c r="CB106" s="108">
        <v>0</v>
      </c>
      <c r="CC106">
        <v>1862.1</v>
      </c>
      <c r="CD106">
        <v>0</v>
      </c>
      <c r="CE106" s="189">
        <v>155</v>
      </c>
      <c r="CF106" s="189">
        <v>0</v>
      </c>
      <c r="CG106" s="189">
        <f t="shared" si="341"/>
        <v>423.21</v>
      </c>
      <c r="CH106" s="189">
        <f t="shared" si="342"/>
        <v>0</v>
      </c>
      <c r="CI106" s="150"/>
      <c r="CJ106" s="150"/>
      <c r="CK106" s="150">
        <v>430</v>
      </c>
      <c r="CL106" s="150"/>
      <c r="CM106" s="150"/>
      <c r="CN106" s="150"/>
      <c r="CO106" s="150">
        <v>2140</v>
      </c>
      <c r="CP106" s="150"/>
      <c r="CQ106" s="150">
        <f t="shared" si="343"/>
        <v>1720</v>
      </c>
      <c r="CR106" s="150">
        <f t="shared" si="344"/>
        <v>0</v>
      </c>
      <c r="CS106" s="150">
        <f t="shared" si="345"/>
        <v>1720</v>
      </c>
      <c r="CT106" s="150">
        <f t="shared" si="346"/>
        <v>0</v>
      </c>
      <c r="CU106" s="150">
        <f t="shared" si="549"/>
        <v>1720</v>
      </c>
      <c r="CV106" s="150">
        <f t="shared" si="550"/>
        <v>0</v>
      </c>
      <c r="CW106" s="150">
        <f t="shared" si="349"/>
        <v>430</v>
      </c>
      <c r="CX106" s="150">
        <f t="shared" si="366"/>
        <v>0</v>
      </c>
      <c r="CY106" s="150"/>
      <c r="CZ106" s="150"/>
      <c r="DA106" s="150">
        <f t="shared" si="350"/>
        <v>1015</v>
      </c>
      <c r="DB106" s="150">
        <f t="shared" si="351"/>
        <v>0</v>
      </c>
      <c r="DC106" s="150">
        <v>1015</v>
      </c>
      <c r="DD106" s="150">
        <v>0</v>
      </c>
      <c r="DE106" s="150">
        <f t="shared" si="352"/>
        <v>0</v>
      </c>
      <c r="DF106" s="150">
        <f t="shared" si="353"/>
        <v>0</v>
      </c>
      <c r="DG106" s="150">
        <f>ROUND(0.25*(MIN(CU106,DO106)),2)</f>
        <v>430</v>
      </c>
      <c r="DH106" s="150">
        <f>ROUND(0.25*(MIN(CV106,DP106)),2)</f>
        <v>0</v>
      </c>
      <c r="DI106" s="150">
        <f t="shared" si="354"/>
        <v>430</v>
      </c>
      <c r="DJ106" s="150">
        <f>+DH106-DF106</f>
        <v>0</v>
      </c>
      <c r="DK106" s="104">
        <f t="shared" si="165"/>
        <v>275</v>
      </c>
      <c r="DL106" s="104">
        <f t="shared" si="166"/>
        <v>0</v>
      </c>
      <c r="DM106" s="104">
        <f t="shared" si="333"/>
        <v>275</v>
      </c>
      <c r="DN106" s="104">
        <f t="shared" si="334"/>
        <v>0</v>
      </c>
      <c r="DO106" s="104">
        <f>1520+200</f>
        <v>1720</v>
      </c>
      <c r="DQ106" s="178">
        <f>230+2200</f>
        <v>2430</v>
      </c>
    </row>
    <row r="107" spans="1:130" ht="18.75">
      <c r="A107" s="18"/>
      <c r="B107" s="18" t="s">
        <v>166</v>
      </c>
      <c r="C107" s="19" t="s">
        <v>99</v>
      </c>
      <c r="D107" s="20" t="s">
        <v>164</v>
      </c>
      <c r="E107" s="21" t="s">
        <v>167</v>
      </c>
      <c r="F107" s="22">
        <v>7195.6799999999985</v>
      </c>
      <c r="G107" s="22">
        <v>3447.08</v>
      </c>
      <c r="H107" s="22">
        <v>7120.0999999999985</v>
      </c>
      <c r="I107" s="22">
        <v>3497.08</v>
      </c>
      <c r="J107" s="88">
        <f t="shared" ref="J107:AA107" si="551">+J105+J106</f>
        <v>8450</v>
      </c>
      <c r="K107" s="88">
        <f t="shared" si="551"/>
        <v>0</v>
      </c>
      <c r="L107" s="88">
        <f t="shared" si="551"/>
        <v>0</v>
      </c>
      <c r="M107" s="88">
        <f t="shared" si="551"/>
        <v>8450</v>
      </c>
      <c r="N107" s="88">
        <f t="shared" si="551"/>
        <v>180</v>
      </c>
      <c r="O107" s="88">
        <f t="shared" si="551"/>
        <v>0</v>
      </c>
      <c r="P107" s="88">
        <f t="shared" si="551"/>
        <v>0</v>
      </c>
      <c r="Q107" s="88">
        <f t="shared" si="551"/>
        <v>180</v>
      </c>
      <c r="R107" s="88">
        <f t="shared" si="551"/>
        <v>8630</v>
      </c>
      <c r="S107" s="88">
        <f t="shared" si="551"/>
        <v>4200</v>
      </c>
      <c r="T107" s="88">
        <f t="shared" si="551"/>
        <v>0</v>
      </c>
      <c r="U107" s="88">
        <f t="shared" si="551"/>
        <v>0</v>
      </c>
      <c r="V107" s="88">
        <f t="shared" si="551"/>
        <v>7535.2</v>
      </c>
      <c r="W107" s="88">
        <f t="shared" si="551"/>
        <v>3611.43</v>
      </c>
      <c r="X107" s="88">
        <f t="shared" si="551"/>
        <v>1094.8</v>
      </c>
      <c r="Y107" s="88">
        <f t="shared" si="551"/>
        <v>588.57000000000016</v>
      </c>
      <c r="Z107" s="88">
        <f t="shared" si="551"/>
        <v>7380.2</v>
      </c>
      <c r="AA107" s="88">
        <f t="shared" si="551"/>
        <v>155</v>
      </c>
      <c r="AB107" s="22">
        <f t="shared" si="312"/>
        <v>7535.2</v>
      </c>
      <c r="AC107" s="109">
        <f t="shared" si="313"/>
        <v>0</v>
      </c>
      <c r="AD107" s="22">
        <f t="shared" ref="AD107:CO107" si="552">+AD105+AD106</f>
        <v>7535.2</v>
      </c>
      <c r="AE107" s="22">
        <f t="shared" si="552"/>
        <v>3611.43</v>
      </c>
      <c r="AF107" s="22">
        <f t="shared" si="552"/>
        <v>3789.24</v>
      </c>
      <c r="AG107" s="22">
        <f t="shared" si="552"/>
        <v>1883</v>
      </c>
      <c r="AH107" s="22">
        <f t="shared" si="552"/>
        <v>903</v>
      </c>
      <c r="AI107" s="118">
        <f t="shared" si="552"/>
        <v>628</v>
      </c>
      <c r="AJ107" s="22">
        <f t="shared" si="552"/>
        <v>301</v>
      </c>
      <c r="AK107" s="22">
        <f t="shared" si="552"/>
        <v>0</v>
      </c>
      <c r="AL107" s="22">
        <f t="shared" si="552"/>
        <v>300</v>
      </c>
      <c r="AM107" s="22">
        <f t="shared" si="552"/>
        <v>1883.8</v>
      </c>
      <c r="AN107" s="22">
        <f t="shared" si="552"/>
        <v>879.38</v>
      </c>
      <c r="AO107" s="22">
        <f t="shared" si="552"/>
        <v>0</v>
      </c>
      <c r="AP107" s="22">
        <f t="shared" si="552"/>
        <v>0</v>
      </c>
      <c r="AQ107" s="22">
        <f t="shared" si="552"/>
        <v>3766.8</v>
      </c>
      <c r="AR107" s="22">
        <f t="shared" si="552"/>
        <v>2082.38</v>
      </c>
      <c r="AS107" s="22">
        <f t="shared" si="552"/>
        <v>0</v>
      </c>
      <c r="AT107" s="22">
        <f t="shared" si="552"/>
        <v>0</v>
      </c>
      <c r="AU107" s="22">
        <f t="shared" si="552"/>
        <v>1883.8</v>
      </c>
      <c r="AV107" s="22">
        <f t="shared" si="552"/>
        <v>902.86</v>
      </c>
      <c r="AW107" s="22">
        <f t="shared" si="552"/>
        <v>0</v>
      </c>
      <c r="AX107" s="22">
        <f t="shared" si="552"/>
        <v>0</v>
      </c>
      <c r="AY107" s="22">
        <f t="shared" si="552"/>
        <v>6278.6</v>
      </c>
      <c r="AZ107" s="22">
        <f t="shared" si="552"/>
        <v>3286.2400000000002</v>
      </c>
      <c r="BA107" s="22">
        <f t="shared" si="552"/>
        <v>9564.84</v>
      </c>
      <c r="BB107" s="22">
        <f t="shared" si="552"/>
        <v>6265.9400000000005</v>
      </c>
      <c r="BC107" s="22">
        <f t="shared" si="552"/>
        <v>3308</v>
      </c>
      <c r="BD107" s="22">
        <f t="shared" si="552"/>
        <v>12.659999999999627</v>
      </c>
      <c r="BE107" s="22">
        <f t="shared" si="552"/>
        <v>-21.759999999999764</v>
      </c>
      <c r="BF107" s="22">
        <f t="shared" si="552"/>
        <v>1253.19</v>
      </c>
      <c r="BG107" s="118">
        <f t="shared" si="552"/>
        <v>661.6</v>
      </c>
      <c r="BH107" s="118">
        <f t="shared" si="552"/>
        <v>618.28</v>
      </c>
      <c r="BI107" s="118">
        <f t="shared" si="552"/>
        <v>300</v>
      </c>
      <c r="BJ107" s="118">
        <f t="shared" si="552"/>
        <v>0</v>
      </c>
      <c r="BK107" s="118">
        <f t="shared" si="552"/>
        <v>0</v>
      </c>
      <c r="BL107" s="118">
        <f t="shared" si="552"/>
        <v>6896.88</v>
      </c>
      <c r="BM107" s="118">
        <f t="shared" si="552"/>
        <v>3586.2400000000002</v>
      </c>
      <c r="BN107" s="118">
        <f t="shared" si="552"/>
        <v>10483.120000000001</v>
      </c>
      <c r="BO107" s="118">
        <f t="shared" si="552"/>
        <v>6798.88</v>
      </c>
      <c r="BP107" s="118">
        <f t="shared" si="552"/>
        <v>3825.36</v>
      </c>
      <c r="BQ107" s="22">
        <f t="shared" si="552"/>
        <v>98.000000000000455</v>
      </c>
      <c r="BR107" s="22">
        <f t="shared" si="552"/>
        <v>-239.11999999999989</v>
      </c>
      <c r="BS107" s="22">
        <f t="shared" si="552"/>
        <v>618.07999999999993</v>
      </c>
      <c r="BT107" s="22">
        <f t="shared" si="552"/>
        <v>347.76</v>
      </c>
      <c r="BU107" s="22">
        <f t="shared" si="552"/>
        <v>529.20000000000005</v>
      </c>
      <c r="BV107" s="22">
        <f t="shared" si="552"/>
        <v>586.88</v>
      </c>
      <c r="BW107" s="22">
        <f t="shared" si="552"/>
        <v>141</v>
      </c>
      <c r="BX107" s="22">
        <f t="shared" si="552"/>
        <v>387.03</v>
      </c>
      <c r="BY107" s="22">
        <f t="shared" si="552"/>
        <v>0</v>
      </c>
      <c r="BZ107" s="22">
        <f t="shared" si="552"/>
        <v>0</v>
      </c>
      <c r="CA107" s="22">
        <f t="shared" si="552"/>
        <v>7567.08</v>
      </c>
      <c r="CB107" s="22">
        <f t="shared" si="552"/>
        <v>4560.1499999999996</v>
      </c>
      <c r="CC107" s="22">
        <f t="shared" si="552"/>
        <v>8323.7899999999991</v>
      </c>
      <c r="CD107" s="118">
        <f t="shared" si="552"/>
        <v>5244.17</v>
      </c>
      <c r="CE107" s="190">
        <f t="shared" si="552"/>
        <v>693</v>
      </c>
      <c r="CF107" s="190">
        <f t="shared" si="552"/>
        <v>437</v>
      </c>
      <c r="CG107" s="190">
        <f t="shared" si="552"/>
        <v>1891.78</v>
      </c>
      <c r="CH107" s="190">
        <f t="shared" si="552"/>
        <v>1140.04</v>
      </c>
      <c r="CI107" s="190">
        <f t="shared" si="552"/>
        <v>0</v>
      </c>
      <c r="CJ107" s="190">
        <f t="shared" si="552"/>
        <v>0</v>
      </c>
      <c r="CK107" s="190">
        <f t="shared" si="552"/>
        <v>2055</v>
      </c>
      <c r="CL107" s="190">
        <f t="shared" si="552"/>
        <v>1187</v>
      </c>
      <c r="CM107" s="190">
        <f t="shared" si="552"/>
        <v>0</v>
      </c>
      <c r="CN107" s="190">
        <f t="shared" si="552"/>
        <v>0</v>
      </c>
      <c r="CO107" s="190">
        <f t="shared" si="552"/>
        <v>8640</v>
      </c>
      <c r="CP107" s="190">
        <f t="shared" ref="CP107:DZ107" si="553">+CP105+CP106</f>
        <v>4500</v>
      </c>
      <c r="CQ107" s="190">
        <f t="shared" si="553"/>
        <v>8220</v>
      </c>
      <c r="CR107" s="190">
        <f t="shared" si="553"/>
        <v>4748</v>
      </c>
      <c r="CS107" s="190">
        <f t="shared" si="553"/>
        <v>8220</v>
      </c>
      <c r="CT107" s="190">
        <f t="shared" si="553"/>
        <v>4500</v>
      </c>
      <c r="CU107" s="190">
        <f t="shared" si="553"/>
        <v>8220</v>
      </c>
      <c r="CV107" s="190">
        <f t="shared" si="553"/>
        <v>4500</v>
      </c>
      <c r="CW107" s="190">
        <f t="shared" si="553"/>
        <v>2055</v>
      </c>
      <c r="CX107" s="190">
        <f t="shared" si="553"/>
        <v>1125</v>
      </c>
      <c r="CY107" s="190">
        <f t="shared" si="553"/>
        <v>0</v>
      </c>
      <c r="CZ107" s="190">
        <f t="shared" si="553"/>
        <v>0</v>
      </c>
      <c r="DA107" s="190">
        <f t="shared" si="553"/>
        <v>4803</v>
      </c>
      <c r="DB107" s="190">
        <f t="shared" si="553"/>
        <v>2749</v>
      </c>
      <c r="DC107" s="190">
        <f t="shared" si="553"/>
        <v>4675.8899999999994</v>
      </c>
      <c r="DD107" s="190">
        <f t="shared" si="553"/>
        <v>2309.38</v>
      </c>
      <c r="DE107" s="190">
        <f t="shared" si="553"/>
        <v>127.11000000000013</v>
      </c>
      <c r="DF107" s="190">
        <f t="shared" si="553"/>
        <v>439.61999999999989</v>
      </c>
      <c r="DG107" s="190">
        <f t="shared" si="553"/>
        <v>2055</v>
      </c>
      <c r="DH107" s="190">
        <f t="shared" si="553"/>
        <v>1125</v>
      </c>
      <c r="DI107" s="190">
        <f t="shared" si="553"/>
        <v>1927.8899999999999</v>
      </c>
      <c r="DJ107" s="190">
        <f t="shared" si="553"/>
        <v>685.38000000000011</v>
      </c>
      <c r="DK107" s="104">
        <f t="shared" si="165"/>
        <v>1489.1100000000001</v>
      </c>
      <c r="DL107" s="104">
        <f t="shared" si="166"/>
        <v>1565.62</v>
      </c>
      <c r="DM107" s="104">
        <f t="shared" si="333"/>
        <v>1489.1100000000001</v>
      </c>
      <c r="DN107" s="104">
        <f t="shared" si="334"/>
        <v>1065.6199999999999</v>
      </c>
      <c r="DO107" s="22">
        <f t="shared" si="553"/>
        <v>8220</v>
      </c>
      <c r="DP107" s="22">
        <f t="shared" si="553"/>
        <v>5000</v>
      </c>
      <c r="DQ107" s="22">
        <f t="shared" si="553"/>
        <v>9430</v>
      </c>
      <c r="DR107" s="22">
        <f t="shared" si="553"/>
        <v>5500</v>
      </c>
      <c r="DS107" s="22">
        <f t="shared" si="553"/>
        <v>0</v>
      </c>
      <c r="DT107" s="22">
        <f t="shared" si="553"/>
        <v>0</v>
      </c>
      <c r="DU107" s="22">
        <f t="shared" si="553"/>
        <v>0</v>
      </c>
      <c r="DV107" s="22">
        <f t="shared" si="553"/>
        <v>0</v>
      </c>
      <c r="DW107" s="22">
        <f t="shared" si="553"/>
        <v>0</v>
      </c>
      <c r="DX107" s="22">
        <f t="shared" si="553"/>
        <v>0</v>
      </c>
      <c r="DY107" s="22">
        <f t="shared" si="553"/>
        <v>0</v>
      </c>
      <c r="DZ107" s="22">
        <f t="shared" si="553"/>
        <v>0</v>
      </c>
    </row>
    <row r="108" spans="1:130" ht="18.75">
      <c r="A108" s="13">
        <v>14</v>
      </c>
      <c r="B108" s="13"/>
      <c r="C108" s="14"/>
      <c r="D108" s="15" t="s">
        <v>168</v>
      </c>
      <c r="E108" s="16"/>
      <c r="F108" s="81">
        <v>1292.2</v>
      </c>
      <c r="G108" s="81">
        <v>148.02000000000004</v>
      </c>
      <c r="H108" s="81">
        <v>1292.2</v>
      </c>
      <c r="I108" s="17">
        <v>148.02000000000004</v>
      </c>
      <c r="J108" s="86">
        <v>1560</v>
      </c>
      <c r="K108" s="87">
        <v>0</v>
      </c>
      <c r="L108" s="87">
        <v>0</v>
      </c>
      <c r="M108" s="87">
        <f t="shared" si="478"/>
        <v>1560</v>
      </c>
      <c r="N108" s="87">
        <v>0</v>
      </c>
      <c r="O108" s="87">
        <v>0</v>
      </c>
      <c r="P108" s="87">
        <v>0</v>
      </c>
      <c r="Q108" s="87">
        <f t="shared" ref="Q108:Q109" si="554">N108+O108+P108</f>
        <v>0</v>
      </c>
      <c r="R108" s="87">
        <f t="shared" si="514"/>
        <v>1560</v>
      </c>
      <c r="S108" s="87">
        <v>175</v>
      </c>
      <c r="V108" s="17">
        <f t="shared" ref="V108:V109" si="555">ROUND(H108*1.0583,2)</f>
        <v>1367.54</v>
      </c>
      <c r="W108" s="17">
        <f t="shared" ref="W108:W109" si="556">ROUND(I108*1.0327,2)</f>
        <v>152.86000000000001</v>
      </c>
      <c r="X108" s="108">
        <f t="shared" si="310"/>
        <v>192.46000000000004</v>
      </c>
      <c r="Y108" s="108">
        <f t="shared" si="311"/>
        <v>22.139999999999986</v>
      </c>
      <c r="Z108" s="108">
        <v>1367.54</v>
      </c>
      <c r="AA108" s="108"/>
      <c r="AB108" s="108">
        <f t="shared" si="312"/>
        <v>1367.54</v>
      </c>
      <c r="AC108" s="109">
        <f t="shared" si="313"/>
        <v>0</v>
      </c>
      <c r="AD108" s="108">
        <f t="shared" ref="AD108:AD109" si="557">IF(X108&gt;0,V108,R108)</f>
        <v>1367.54</v>
      </c>
      <c r="AE108" s="108">
        <f t="shared" ref="AE108:AE109" si="558">IF(Y108&gt;0,W108,S108)</f>
        <v>152.86000000000001</v>
      </c>
      <c r="AF108" s="108">
        <f t="shared" si="314"/>
        <v>157.88999999999999</v>
      </c>
      <c r="AG108" s="108">
        <f t="shared" si="315"/>
        <v>342</v>
      </c>
      <c r="AH108" s="108">
        <f t="shared" si="316"/>
        <v>38</v>
      </c>
      <c r="AI108" s="127">
        <f t="shared" si="317"/>
        <v>114</v>
      </c>
      <c r="AJ108" s="108">
        <f t="shared" si="318"/>
        <v>13</v>
      </c>
      <c r="AM108" s="108">
        <f t="shared" si="319"/>
        <v>341.89</v>
      </c>
      <c r="AN108" s="108">
        <f t="shared" si="320"/>
        <v>37.22</v>
      </c>
      <c r="AQ108" s="108">
        <f t="shared" si="321"/>
        <v>683.89</v>
      </c>
      <c r="AR108" s="151">
        <f t="shared" si="322"/>
        <v>75.22</v>
      </c>
      <c r="AS108" s="151"/>
      <c r="AT108" s="151"/>
      <c r="AU108" s="151">
        <f t="shared" si="497"/>
        <v>341.89</v>
      </c>
      <c r="AV108" s="151">
        <f t="shared" si="184"/>
        <v>38.22</v>
      </c>
      <c r="AW108" s="151"/>
      <c r="AX108" s="142">
        <v>15</v>
      </c>
      <c r="AY108" s="108">
        <f t="shared" si="303"/>
        <v>1139.78</v>
      </c>
      <c r="AZ108" s="108">
        <f t="shared" si="304"/>
        <v>141.44</v>
      </c>
      <c r="BA108" s="108">
        <f t="shared" si="305"/>
        <v>1281.22</v>
      </c>
      <c r="BB108" s="139">
        <v>1151.7</v>
      </c>
      <c r="BC108" s="139">
        <v>140.96</v>
      </c>
      <c r="BD108" s="139">
        <f t="shared" si="306"/>
        <v>-11.920000000000073</v>
      </c>
      <c r="BE108" s="139">
        <f t="shared" si="307"/>
        <v>0.47999999999998977</v>
      </c>
      <c r="BF108" s="139">
        <f t="shared" si="308"/>
        <v>230.34</v>
      </c>
      <c r="BG108" s="139">
        <f t="shared" si="309"/>
        <v>28.19</v>
      </c>
      <c r="BH108" s="108">
        <v>121.13</v>
      </c>
      <c r="BI108" s="108">
        <v>4.28</v>
      </c>
      <c r="BJ108" s="108">
        <v>25</v>
      </c>
      <c r="BK108" s="108">
        <v>5</v>
      </c>
      <c r="BL108" s="108">
        <f t="shared" si="332"/>
        <v>1285.9099999999999</v>
      </c>
      <c r="BM108" s="108">
        <f t="shared" si="335"/>
        <v>150.72</v>
      </c>
      <c r="BN108" s="108">
        <f t="shared" si="336"/>
        <v>1436.6299999999999</v>
      </c>
      <c r="BO108" s="108">
        <v>1264.53</v>
      </c>
      <c r="BP108" s="127">
        <v>142.66999999999999</v>
      </c>
      <c r="BQ108" s="108">
        <f t="shared" si="337"/>
        <v>21.379999999999882</v>
      </c>
      <c r="BR108" s="108">
        <f t="shared" si="338"/>
        <v>8.0500000000000114</v>
      </c>
      <c r="BS108" s="108">
        <f t="shared" si="339"/>
        <v>114.96</v>
      </c>
      <c r="BT108" s="108">
        <f t="shared" si="340"/>
        <v>12.97</v>
      </c>
      <c r="BU108" s="143">
        <v>106.09</v>
      </c>
      <c r="BV108" s="143">
        <v>4.62</v>
      </c>
      <c r="BW108" s="143"/>
      <c r="BX108" s="143"/>
      <c r="BY108" s="143"/>
      <c r="BZ108" s="143"/>
      <c r="CA108" s="108">
        <v>1391.9999999999998</v>
      </c>
      <c r="CB108" s="108">
        <v>155.34</v>
      </c>
      <c r="CC108">
        <v>1531.2</v>
      </c>
      <c r="CD108">
        <v>178.64</v>
      </c>
      <c r="CE108" s="189">
        <v>128</v>
      </c>
      <c r="CF108" s="189">
        <v>15</v>
      </c>
      <c r="CG108" s="189">
        <f t="shared" si="341"/>
        <v>348</v>
      </c>
      <c r="CH108" s="189">
        <f t="shared" si="342"/>
        <v>38.840000000000003</v>
      </c>
      <c r="CI108" s="150"/>
      <c r="CJ108" s="150"/>
      <c r="CK108" s="150">
        <v>420.92</v>
      </c>
      <c r="CL108" s="150">
        <f>170.19-70.19-20</f>
        <v>80</v>
      </c>
      <c r="CM108" s="150"/>
      <c r="CN108" s="150">
        <v>88</v>
      </c>
      <c r="CO108" s="150">
        <v>1525</v>
      </c>
      <c r="CP108" s="150">
        <v>185</v>
      </c>
      <c r="CQ108" s="150">
        <f t="shared" si="343"/>
        <v>1683.68</v>
      </c>
      <c r="CR108" s="150">
        <f t="shared" si="344"/>
        <v>320</v>
      </c>
      <c r="CS108" s="150">
        <f t="shared" si="345"/>
        <v>1525</v>
      </c>
      <c r="CT108" s="150">
        <f t="shared" si="346"/>
        <v>185</v>
      </c>
      <c r="CU108" s="150">
        <f t="shared" si="345"/>
        <v>1525</v>
      </c>
      <c r="CV108" s="150">
        <v>191</v>
      </c>
      <c r="CW108" s="150">
        <f t="shared" si="349"/>
        <v>381.25</v>
      </c>
      <c r="CX108" s="150">
        <v>2</v>
      </c>
      <c r="CY108" s="150"/>
      <c r="CZ108" s="150"/>
      <c r="DA108" s="150">
        <f t="shared" si="350"/>
        <v>930.17000000000007</v>
      </c>
      <c r="DB108" s="150">
        <f t="shared" si="351"/>
        <v>185</v>
      </c>
      <c r="DC108" s="150">
        <v>915.48</v>
      </c>
      <c r="DD108" s="150">
        <v>184.2</v>
      </c>
      <c r="DE108" s="150">
        <f t="shared" si="352"/>
        <v>14.690000000000055</v>
      </c>
      <c r="DF108" s="150">
        <f t="shared" si="353"/>
        <v>0.80000000000001137</v>
      </c>
      <c r="DG108" s="150">
        <f>ROUND(0.25*(MIN(CU108,DO108)),2)</f>
        <v>381.25</v>
      </c>
      <c r="DH108" s="150">
        <f>ROUND(0.25*(MIN(CV108,DP108)),2)</f>
        <v>47.75</v>
      </c>
      <c r="DI108" s="150">
        <f t="shared" si="354"/>
        <v>366.55999999999995</v>
      </c>
      <c r="DJ108" s="150">
        <f>+DH108-DF108-40.95</f>
        <v>5.9999999999999858</v>
      </c>
      <c r="DK108" s="104">
        <f t="shared" si="165"/>
        <v>276.27</v>
      </c>
      <c r="DL108" s="104">
        <f t="shared" si="166"/>
        <v>1.4210854715202004E-14</v>
      </c>
      <c r="DM108" s="104">
        <f t="shared" si="333"/>
        <v>228.26999999999998</v>
      </c>
      <c r="DN108" s="104">
        <f t="shared" si="334"/>
        <v>1.4210854715202004E-14</v>
      </c>
      <c r="DO108" s="104">
        <v>1573</v>
      </c>
      <c r="DP108" s="104">
        <v>191</v>
      </c>
      <c r="DQ108" s="104">
        <v>1810</v>
      </c>
      <c r="DR108" s="104">
        <v>160</v>
      </c>
    </row>
    <row r="109" spans="1:130" ht="18.75">
      <c r="A109" s="13">
        <v>15</v>
      </c>
      <c r="B109" s="13"/>
      <c r="C109" s="14"/>
      <c r="D109" s="15" t="s">
        <v>169</v>
      </c>
      <c r="E109" s="16"/>
      <c r="F109" s="81">
        <v>397.04</v>
      </c>
      <c r="G109" s="81">
        <v>0</v>
      </c>
      <c r="H109" s="81">
        <v>397.04</v>
      </c>
      <c r="I109" s="17">
        <v>0</v>
      </c>
      <c r="J109" s="86">
        <v>533.42999999999995</v>
      </c>
      <c r="K109" s="87">
        <v>0</v>
      </c>
      <c r="L109" s="87">
        <v>0</v>
      </c>
      <c r="M109" s="87">
        <f t="shared" si="478"/>
        <v>533.42999999999995</v>
      </c>
      <c r="N109" s="87">
        <v>0</v>
      </c>
      <c r="O109" s="87">
        <v>0</v>
      </c>
      <c r="P109" s="87">
        <v>0</v>
      </c>
      <c r="Q109" s="87">
        <f t="shared" si="554"/>
        <v>0</v>
      </c>
      <c r="R109" s="87">
        <f t="shared" si="514"/>
        <v>533.42999999999995</v>
      </c>
      <c r="S109" s="87">
        <v>0</v>
      </c>
      <c r="V109" s="17">
        <f t="shared" si="555"/>
        <v>420.19</v>
      </c>
      <c r="W109" s="17">
        <f t="shared" si="556"/>
        <v>0</v>
      </c>
      <c r="X109" s="108">
        <f t="shared" si="310"/>
        <v>113.23999999999995</v>
      </c>
      <c r="Y109" s="108">
        <f t="shared" si="311"/>
        <v>0</v>
      </c>
      <c r="Z109" s="108">
        <v>420.19</v>
      </c>
      <c r="AA109" s="108"/>
      <c r="AB109" s="108">
        <f t="shared" si="312"/>
        <v>420.19</v>
      </c>
      <c r="AC109" s="109">
        <f t="shared" si="313"/>
        <v>0</v>
      </c>
      <c r="AD109" s="108">
        <f t="shared" si="557"/>
        <v>420.19</v>
      </c>
      <c r="AE109" s="108">
        <f t="shared" si="558"/>
        <v>0</v>
      </c>
      <c r="AF109" s="108">
        <f t="shared" si="314"/>
        <v>0</v>
      </c>
      <c r="AG109" s="108">
        <f t="shared" si="315"/>
        <v>105</v>
      </c>
      <c r="AH109" s="108">
        <f t="shared" si="316"/>
        <v>0</v>
      </c>
      <c r="AI109" s="127">
        <f t="shared" si="317"/>
        <v>35</v>
      </c>
      <c r="AJ109" s="108">
        <f t="shared" si="318"/>
        <v>0</v>
      </c>
      <c r="AM109" s="108">
        <f t="shared" si="319"/>
        <v>105.05</v>
      </c>
      <c r="AN109" s="108">
        <f t="shared" si="320"/>
        <v>0</v>
      </c>
      <c r="AQ109" s="108">
        <f t="shared" si="321"/>
        <v>210.05</v>
      </c>
      <c r="AR109" s="151">
        <f t="shared" si="322"/>
        <v>0</v>
      </c>
      <c r="AS109" s="151"/>
      <c r="AT109" s="151"/>
      <c r="AU109" s="151">
        <v>0.14000000000000001</v>
      </c>
      <c r="AV109" s="151">
        <f t="shared" si="184"/>
        <v>0</v>
      </c>
      <c r="AW109" s="151"/>
      <c r="AX109" s="151"/>
      <c r="AY109" s="108">
        <f t="shared" si="303"/>
        <v>245.19</v>
      </c>
      <c r="AZ109" s="108">
        <f t="shared" si="304"/>
        <v>0</v>
      </c>
      <c r="BA109" s="108">
        <f t="shared" si="305"/>
        <v>245.19</v>
      </c>
      <c r="BB109" s="139">
        <v>245.05</v>
      </c>
      <c r="BD109" s="139">
        <f t="shared" si="306"/>
        <v>0.13999999999998636</v>
      </c>
      <c r="BE109" s="139">
        <f t="shared" si="307"/>
        <v>0</v>
      </c>
      <c r="BF109" s="139">
        <f t="shared" si="308"/>
        <v>49.01</v>
      </c>
      <c r="BG109" s="139">
        <f t="shared" si="309"/>
        <v>0</v>
      </c>
      <c r="BH109" s="108">
        <v>0</v>
      </c>
      <c r="BI109" s="108">
        <v>0</v>
      </c>
      <c r="BJ109" s="108">
        <v>30</v>
      </c>
      <c r="BL109" s="108">
        <f t="shared" si="332"/>
        <v>275.19</v>
      </c>
      <c r="BM109" s="108">
        <f t="shared" si="335"/>
        <v>0</v>
      </c>
      <c r="BN109" s="108">
        <f t="shared" si="336"/>
        <v>275.19</v>
      </c>
      <c r="BO109" s="108">
        <v>245.05</v>
      </c>
      <c r="BP109" s="127"/>
      <c r="BQ109" s="108">
        <f t="shared" si="337"/>
        <v>30.139999999999986</v>
      </c>
      <c r="BR109" s="108">
        <f t="shared" si="338"/>
        <v>0</v>
      </c>
      <c r="BS109" s="108">
        <f t="shared" si="339"/>
        <v>22.28</v>
      </c>
      <c r="BT109" s="108">
        <f t="shared" si="340"/>
        <v>0</v>
      </c>
      <c r="BU109" s="108">
        <v>0</v>
      </c>
      <c r="BV109" s="108">
        <f>ROUND(BT109-BR109,2)</f>
        <v>0</v>
      </c>
      <c r="BW109" s="109">
        <v>145</v>
      </c>
      <c r="CA109" s="108">
        <v>420.19</v>
      </c>
      <c r="CB109" s="108">
        <v>0</v>
      </c>
      <c r="CC109">
        <v>462.21</v>
      </c>
      <c r="CD109">
        <v>0</v>
      </c>
      <c r="CE109" s="189">
        <v>39</v>
      </c>
      <c r="CF109" s="189">
        <v>0</v>
      </c>
      <c r="CG109" s="189">
        <f t="shared" si="341"/>
        <v>105.05</v>
      </c>
      <c r="CH109" s="189">
        <f t="shared" si="342"/>
        <v>0</v>
      </c>
      <c r="CI109" s="150"/>
      <c r="CJ109" s="150"/>
      <c r="CK109" s="150">
        <f>150-25</f>
        <v>125</v>
      </c>
      <c r="CL109" s="150">
        <v>0</v>
      </c>
      <c r="CM109" s="150"/>
      <c r="CN109" s="150"/>
      <c r="CO109" s="150">
        <v>483.22</v>
      </c>
      <c r="CP109" s="150"/>
      <c r="CQ109" s="150">
        <f t="shared" si="343"/>
        <v>500</v>
      </c>
      <c r="CR109" s="150">
        <f t="shared" si="344"/>
        <v>0</v>
      </c>
      <c r="CS109" s="150">
        <f t="shared" si="345"/>
        <v>483.22</v>
      </c>
      <c r="CT109" s="150">
        <f t="shared" si="346"/>
        <v>0</v>
      </c>
      <c r="CU109" s="150">
        <f t="shared" si="345"/>
        <v>483.22</v>
      </c>
      <c r="CV109" s="150">
        <v>0</v>
      </c>
      <c r="CW109" s="150">
        <f t="shared" si="349"/>
        <v>120.81</v>
      </c>
      <c r="CX109" s="150">
        <f>ROUND(CV109*25%,2)</f>
        <v>0</v>
      </c>
      <c r="CY109" s="150"/>
      <c r="CZ109" s="150"/>
      <c r="DA109" s="150">
        <f t="shared" si="350"/>
        <v>284.81</v>
      </c>
      <c r="DB109" s="150">
        <f t="shared" si="351"/>
        <v>0</v>
      </c>
      <c r="DC109" s="150">
        <v>284.81</v>
      </c>
      <c r="DD109" s="150">
        <v>0</v>
      </c>
      <c r="DE109" s="150">
        <f t="shared" si="352"/>
        <v>0</v>
      </c>
      <c r="DF109" s="150">
        <f t="shared" si="353"/>
        <v>0</v>
      </c>
      <c r="DG109" s="150">
        <f>ROUND(0.25*(MIN(CU109,DO109)),2)</f>
        <v>120.81</v>
      </c>
      <c r="DH109" s="150">
        <f>ROUND(0.25*(MIN(CV109,DP109)),2)</f>
        <v>0</v>
      </c>
      <c r="DI109" s="150">
        <f t="shared" si="354"/>
        <v>120.81</v>
      </c>
      <c r="DJ109" s="150">
        <f>+DH109-DF109</f>
        <v>0</v>
      </c>
      <c r="DK109" s="104">
        <f t="shared" si="165"/>
        <v>77.600000000000023</v>
      </c>
      <c r="DL109" s="104">
        <f t="shared" si="166"/>
        <v>0</v>
      </c>
      <c r="DM109" s="104">
        <f t="shared" si="333"/>
        <v>77.600000000000023</v>
      </c>
      <c r="DN109" s="104">
        <f t="shared" si="334"/>
        <v>0</v>
      </c>
      <c r="DO109" s="104">
        <v>483.22</v>
      </c>
      <c r="DQ109" s="104">
        <v>555.70000000000005</v>
      </c>
    </row>
    <row r="110" spans="1:130" ht="18.75">
      <c r="A110" s="18"/>
      <c r="B110" s="18" t="s">
        <v>170</v>
      </c>
      <c r="C110" s="19" t="s">
        <v>153</v>
      </c>
      <c r="D110" s="20" t="s">
        <v>168</v>
      </c>
      <c r="E110" s="21" t="s">
        <v>171</v>
      </c>
      <c r="F110" s="22">
        <v>1689.24</v>
      </c>
      <c r="G110" s="22">
        <v>148.02000000000004</v>
      </c>
      <c r="H110" s="22">
        <v>1689.24</v>
      </c>
      <c r="I110" s="22">
        <v>148.02000000000004</v>
      </c>
      <c r="J110" s="88">
        <f t="shared" ref="J110:AA110" si="559">+J108+J109</f>
        <v>2093.4299999999998</v>
      </c>
      <c r="K110" s="88">
        <f t="shared" si="559"/>
        <v>0</v>
      </c>
      <c r="L110" s="88">
        <f t="shared" si="559"/>
        <v>0</v>
      </c>
      <c r="M110" s="88">
        <f t="shared" si="559"/>
        <v>2093.4299999999998</v>
      </c>
      <c r="N110" s="88">
        <f t="shared" si="559"/>
        <v>0</v>
      </c>
      <c r="O110" s="88">
        <f t="shared" si="559"/>
        <v>0</v>
      </c>
      <c r="P110" s="88">
        <f t="shared" si="559"/>
        <v>0</v>
      </c>
      <c r="Q110" s="88">
        <f t="shared" si="559"/>
        <v>0</v>
      </c>
      <c r="R110" s="88">
        <f t="shared" si="559"/>
        <v>2093.4299999999998</v>
      </c>
      <c r="S110" s="88">
        <f t="shared" si="559"/>
        <v>175</v>
      </c>
      <c r="T110" s="88">
        <f t="shared" si="559"/>
        <v>0</v>
      </c>
      <c r="U110" s="88">
        <f t="shared" si="559"/>
        <v>0</v>
      </c>
      <c r="V110" s="88">
        <f t="shared" si="559"/>
        <v>1787.73</v>
      </c>
      <c r="W110" s="88">
        <f t="shared" si="559"/>
        <v>152.86000000000001</v>
      </c>
      <c r="X110" s="88">
        <f t="shared" si="559"/>
        <v>305.7</v>
      </c>
      <c r="Y110" s="88">
        <f t="shared" si="559"/>
        <v>22.139999999999986</v>
      </c>
      <c r="Z110" s="88">
        <f t="shared" si="559"/>
        <v>1787.73</v>
      </c>
      <c r="AA110" s="88">
        <f t="shared" si="559"/>
        <v>0</v>
      </c>
      <c r="AB110" s="22">
        <f t="shared" si="312"/>
        <v>1787.73</v>
      </c>
      <c r="AC110" s="109">
        <f t="shared" si="313"/>
        <v>0</v>
      </c>
      <c r="AD110" s="22">
        <f t="shared" ref="AD110:CO110" si="560">+AD108+AD109</f>
        <v>1787.73</v>
      </c>
      <c r="AE110" s="22">
        <f t="shared" si="560"/>
        <v>152.86000000000001</v>
      </c>
      <c r="AF110" s="22">
        <f t="shared" si="560"/>
        <v>157.88999999999999</v>
      </c>
      <c r="AG110" s="22">
        <f t="shared" si="560"/>
        <v>447</v>
      </c>
      <c r="AH110" s="22">
        <f t="shared" si="560"/>
        <v>38</v>
      </c>
      <c r="AI110" s="118">
        <f t="shared" si="560"/>
        <v>149</v>
      </c>
      <c r="AJ110" s="22">
        <f t="shared" si="560"/>
        <v>13</v>
      </c>
      <c r="AK110" s="22">
        <f t="shared" si="560"/>
        <v>0</v>
      </c>
      <c r="AL110" s="22">
        <f t="shared" si="560"/>
        <v>0</v>
      </c>
      <c r="AM110" s="22">
        <f t="shared" si="560"/>
        <v>446.94</v>
      </c>
      <c r="AN110" s="22">
        <f t="shared" si="560"/>
        <v>37.22</v>
      </c>
      <c r="AO110" s="22">
        <f t="shared" si="560"/>
        <v>0</v>
      </c>
      <c r="AP110" s="22">
        <f t="shared" si="560"/>
        <v>0</v>
      </c>
      <c r="AQ110" s="22">
        <f t="shared" si="560"/>
        <v>893.94</v>
      </c>
      <c r="AR110" s="22">
        <f t="shared" si="560"/>
        <v>75.22</v>
      </c>
      <c r="AS110" s="22">
        <f t="shared" si="560"/>
        <v>0</v>
      </c>
      <c r="AT110" s="22">
        <f t="shared" si="560"/>
        <v>0</v>
      </c>
      <c r="AU110" s="22">
        <f t="shared" si="560"/>
        <v>342.03</v>
      </c>
      <c r="AV110" s="22">
        <f t="shared" si="560"/>
        <v>38.22</v>
      </c>
      <c r="AW110" s="22">
        <f t="shared" si="560"/>
        <v>0</v>
      </c>
      <c r="AX110" s="22">
        <f t="shared" si="560"/>
        <v>15</v>
      </c>
      <c r="AY110" s="22">
        <f t="shared" si="560"/>
        <v>1384.97</v>
      </c>
      <c r="AZ110" s="22">
        <f t="shared" si="560"/>
        <v>141.44</v>
      </c>
      <c r="BA110" s="22">
        <f t="shared" si="560"/>
        <v>1526.41</v>
      </c>
      <c r="BB110" s="22">
        <f t="shared" si="560"/>
        <v>1396.75</v>
      </c>
      <c r="BC110" s="22">
        <f t="shared" si="560"/>
        <v>140.96</v>
      </c>
      <c r="BD110" s="22">
        <f t="shared" si="560"/>
        <v>-11.780000000000086</v>
      </c>
      <c r="BE110" s="22">
        <f t="shared" si="560"/>
        <v>0.47999999999998977</v>
      </c>
      <c r="BF110" s="22">
        <f t="shared" si="560"/>
        <v>279.35000000000002</v>
      </c>
      <c r="BG110" s="118">
        <f t="shared" si="560"/>
        <v>28.19</v>
      </c>
      <c r="BH110" s="118">
        <f t="shared" si="560"/>
        <v>121.13</v>
      </c>
      <c r="BI110" s="118">
        <f t="shared" si="560"/>
        <v>4.28</v>
      </c>
      <c r="BJ110" s="118">
        <f t="shared" si="560"/>
        <v>55</v>
      </c>
      <c r="BK110" s="118">
        <f t="shared" si="560"/>
        <v>5</v>
      </c>
      <c r="BL110" s="118">
        <f t="shared" si="560"/>
        <v>1561.1</v>
      </c>
      <c r="BM110" s="118">
        <f t="shared" si="560"/>
        <v>150.72</v>
      </c>
      <c r="BN110" s="118">
        <f t="shared" si="560"/>
        <v>1711.82</v>
      </c>
      <c r="BO110" s="118">
        <f t="shared" si="560"/>
        <v>1509.58</v>
      </c>
      <c r="BP110" s="118">
        <f t="shared" si="560"/>
        <v>142.66999999999999</v>
      </c>
      <c r="BQ110" s="22">
        <f t="shared" si="560"/>
        <v>51.519999999999868</v>
      </c>
      <c r="BR110" s="22">
        <f t="shared" si="560"/>
        <v>8.0500000000000114</v>
      </c>
      <c r="BS110" s="22">
        <f t="shared" si="560"/>
        <v>137.24</v>
      </c>
      <c r="BT110" s="22">
        <f t="shared" si="560"/>
        <v>12.97</v>
      </c>
      <c r="BU110" s="22">
        <f t="shared" si="560"/>
        <v>106.09</v>
      </c>
      <c r="BV110" s="22">
        <f t="shared" si="560"/>
        <v>4.62</v>
      </c>
      <c r="BW110" s="22">
        <f t="shared" si="560"/>
        <v>145</v>
      </c>
      <c r="BX110" s="22">
        <f t="shared" si="560"/>
        <v>0</v>
      </c>
      <c r="BY110" s="22">
        <f t="shared" si="560"/>
        <v>0</v>
      </c>
      <c r="BZ110" s="22">
        <f t="shared" si="560"/>
        <v>0</v>
      </c>
      <c r="CA110" s="22">
        <f t="shared" si="560"/>
        <v>1812.1899999999998</v>
      </c>
      <c r="CB110" s="22">
        <f t="shared" si="560"/>
        <v>155.34</v>
      </c>
      <c r="CC110" s="22">
        <f t="shared" si="560"/>
        <v>1993.41</v>
      </c>
      <c r="CD110" s="118">
        <f t="shared" si="560"/>
        <v>178.64</v>
      </c>
      <c r="CE110" s="190">
        <f t="shared" si="560"/>
        <v>167</v>
      </c>
      <c r="CF110" s="190">
        <f t="shared" si="560"/>
        <v>15</v>
      </c>
      <c r="CG110" s="190">
        <f t="shared" si="560"/>
        <v>453.05</v>
      </c>
      <c r="CH110" s="190">
        <f t="shared" si="560"/>
        <v>38.840000000000003</v>
      </c>
      <c r="CI110" s="190">
        <f t="shared" si="560"/>
        <v>0</v>
      </c>
      <c r="CJ110" s="190">
        <f t="shared" si="560"/>
        <v>0</v>
      </c>
      <c r="CK110" s="190">
        <f t="shared" si="560"/>
        <v>545.92000000000007</v>
      </c>
      <c r="CL110" s="190">
        <f t="shared" si="560"/>
        <v>80</v>
      </c>
      <c r="CM110" s="190">
        <f t="shared" si="560"/>
        <v>0</v>
      </c>
      <c r="CN110" s="190">
        <f t="shared" si="560"/>
        <v>88</v>
      </c>
      <c r="CO110" s="190">
        <f t="shared" si="560"/>
        <v>2008.22</v>
      </c>
      <c r="CP110" s="190">
        <f t="shared" ref="CP110:DP110" si="561">+CP108+CP109</f>
        <v>185</v>
      </c>
      <c r="CQ110" s="190">
        <f t="shared" si="561"/>
        <v>2183.6800000000003</v>
      </c>
      <c r="CR110" s="190">
        <f t="shared" si="561"/>
        <v>320</v>
      </c>
      <c r="CS110" s="190">
        <f t="shared" si="561"/>
        <v>2008.22</v>
      </c>
      <c r="CT110" s="190">
        <f t="shared" si="561"/>
        <v>185</v>
      </c>
      <c r="CU110" s="190">
        <f t="shared" si="561"/>
        <v>2008.22</v>
      </c>
      <c r="CV110" s="190">
        <f t="shared" si="561"/>
        <v>191</v>
      </c>
      <c r="CW110" s="190">
        <f t="shared" si="561"/>
        <v>502.06</v>
      </c>
      <c r="CX110" s="190">
        <f t="shared" si="561"/>
        <v>2</v>
      </c>
      <c r="CY110" s="190">
        <f t="shared" si="561"/>
        <v>0</v>
      </c>
      <c r="CZ110" s="190">
        <f t="shared" si="561"/>
        <v>0</v>
      </c>
      <c r="DA110" s="190">
        <f t="shared" si="561"/>
        <v>1214.98</v>
      </c>
      <c r="DB110" s="190">
        <f t="shared" si="561"/>
        <v>185</v>
      </c>
      <c r="DC110" s="190">
        <f t="shared" si="561"/>
        <v>1200.29</v>
      </c>
      <c r="DD110" s="190">
        <f t="shared" si="561"/>
        <v>184.2</v>
      </c>
      <c r="DE110" s="190">
        <f t="shared" si="561"/>
        <v>14.690000000000055</v>
      </c>
      <c r="DF110" s="190">
        <f t="shared" si="561"/>
        <v>0.80000000000001137</v>
      </c>
      <c r="DG110" s="190">
        <f t="shared" si="561"/>
        <v>502.06</v>
      </c>
      <c r="DH110" s="190">
        <f t="shared" si="561"/>
        <v>47.75</v>
      </c>
      <c r="DI110" s="190">
        <f t="shared" si="561"/>
        <v>487.36999999999995</v>
      </c>
      <c r="DJ110" s="190">
        <f t="shared" si="561"/>
        <v>5.9999999999999858</v>
      </c>
      <c r="DK110" s="104">
        <f t="shared" si="165"/>
        <v>353.87000000000029</v>
      </c>
      <c r="DL110" s="104">
        <f t="shared" si="166"/>
        <v>1.4210854715202004E-14</v>
      </c>
      <c r="DM110" s="104">
        <f t="shared" si="333"/>
        <v>305.87000000000006</v>
      </c>
      <c r="DN110" s="104">
        <f t="shared" si="334"/>
        <v>1.4210854715202004E-14</v>
      </c>
      <c r="DO110" s="22">
        <f t="shared" si="561"/>
        <v>2056.2200000000003</v>
      </c>
      <c r="DP110" s="22">
        <f t="shared" si="561"/>
        <v>191</v>
      </c>
      <c r="DQ110" s="22">
        <f t="shared" ref="DQ110:DS110" si="562">+DQ108+DQ109</f>
        <v>2365.6999999999998</v>
      </c>
      <c r="DR110" s="22">
        <f t="shared" si="562"/>
        <v>160</v>
      </c>
      <c r="DS110" s="22">
        <f t="shared" si="562"/>
        <v>0</v>
      </c>
    </row>
    <row r="111" spans="1:130" ht="18.75">
      <c r="A111" s="13">
        <v>16</v>
      </c>
      <c r="B111" s="13"/>
      <c r="C111" s="14"/>
      <c r="D111" s="15" t="s">
        <v>172</v>
      </c>
      <c r="E111" s="16"/>
      <c r="F111" s="81">
        <v>1552.54</v>
      </c>
      <c r="G111" s="81">
        <v>268.20999999999998</v>
      </c>
      <c r="H111" s="81">
        <v>1552.54</v>
      </c>
      <c r="I111" s="17">
        <v>268.20999999999998</v>
      </c>
      <c r="J111" s="86">
        <v>1800</v>
      </c>
      <c r="K111" s="87">
        <v>0</v>
      </c>
      <c r="L111" s="87">
        <v>0</v>
      </c>
      <c r="M111" s="87">
        <f t="shared" si="478"/>
        <v>1800</v>
      </c>
      <c r="N111" s="87">
        <v>0</v>
      </c>
      <c r="O111" s="87">
        <v>0</v>
      </c>
      <c r="P111" s="87">
        <v>0</v>
      </c>
      <c r="Q111" s="87">
        <f t="shared" ref="Q111:Q112" si="563">N111+O111+P111</f>
        <v>0</v>
      </c>
      <c r="R111" s="87">
        <f t="shared" si="514"/>
        <v>1800</v>
      </c>
      <c r="S111" s="87">
        <v>250</v>
      </c>
      <c r="V111" s="17">
        <f t="shared" ref="V111:V112" si="564">ROUND(H111*1.0583,2)</f>
        <v>1643.05</v>
      </c>
      <c r="W111" s="17">
        <f t="shared" ref="W111:W112" si="565">ROUND(I111*1.0327,2)</f>
        <v>276.98</v>
      </c>
      <c r="X111" s="108">
        <f t="shared" si="310"/>
        <v>156.95000000000005</v>
      </c>
      <c r="Y111" s="108">
        <f t="shared" si="311"/>
        <v>-26.980000000000018</v>
      </c>
      <c r="Z111" s="108">
        <v>1643.05</v>
      </c>
      <c r="AA111" s="108"/>
      <c r="AB111" s="108">
        <f t="shared" si="312"/>
        <v>1643.05</v>
      </c>
      <c r="AC111" s="109">
        <f t="shared" si="313"/>
        <v>0</v>
      </c>
      <c r="AD111" s="108">
        <f t="shared" ref="AD111:AD112" si="566">IF(X111&gt;0,V111,R111)</f>
        <v>1643.05</v>
      </c>
      <c r="AE111" s="108">
        <f t="shared" ref="AE111:AE112" si="567">IF(Y111&gt;0,W111,S111)</f>
        <v>250</v>
      </c>
      <c r="AF111" s="108">
        <f t="shared" si="314"/>
        <v>225.55</v>
      </c>
      <c r="AG111" s="108">
        <f t="shared" si="315"/>
        <v>411</v>
      </c>
      <c r="AH111" s="108">
        <f t="shared" si="316"/>
        <v>63</v>
      </c>
      <c r="AI111" s="127">
        <f t="shared" si="317"/>
        <v>137</v>
      </c>
      <c r="AJ111" s="108">
        <f t="shared" si="318"/>
        <v>21</v>
      </c>
      <c r="AM111" s="108">
        <f t="shared" si="319"/>
        <v>410.76</v>
      </c>
      <c r="AN111" s="108">
        <f t="shared" si="320"/>
        <v>60.88</v>
      </c>
      <c r="AQ111" s="108">
        <f t="shared" si="321"/>
        <v>821.76</v>
      </c>
      <c r="AR111" s="151">
        <f t="shared" si="322"/>
        <v>123.88</v>
      </c>
      <c r="AS111" s="151"/>
      <c r="AT111" s="151"/>
      <c r="AU111" s="151">
        <f t="shared" si="497"/>
        <v>410.76</v>
      </c>
      <c r="AV111" s="151">
        <f t="shared" si="184"/>
        <v>62.5</v>
      </c>
      <c r="AW111" s="151"/>
      <c r="AX111" s="151"/>
      <c r="AY111" s="108">
        <f t="shared" si="303"/>
        <v>1369.52</v>
      </c>
      <c r="AZ111" s="108">
        <f t="shared" si="304"/>
        <v>207.38</v>
      </c>
      <c r="BA111" s="108">
        <f t="shared" si="305"/>
        <v>1576.9</v>
      </c>
      <c r="BB111" s="139">
        <v>1261.79</v>
      </c>
      <c r="BC111" s="139">
        <v>185.37</v>
      </c>
      <c r="BD111" s="139">
        <f t="shared" si="306"/>
        <v>107.73000000000002</v>
      </c>
      <c r="BE111" s="139">
        <f t="shared" si="307"/>
        <v>22.009999999999991</v>
      </c>
      <c r="BF111" s="139">
        <f t="shared" si="308"/>
        <v>252.36</v>
      </c>
      <c r="BG111" s="139">
        <f t="shared" si="309"/>
        <v>37.07</v>
      </c>
      <c r="BH111" s="108">
        <v>72.319999999999993</v>
      </c>
      <c r="BI111" s="143">
        <v>7.53</v>
      </c>
      <c r="BJ111" s="143"/>
      <c r="BK111" s="143"/>
      <c r="BL111" s="108">
        <f t="shared" si="332"/>
        <v>1441.84</v>
      </c>
      <c r="BM111" s="108">
        <f t="shared" si="335"/>
        <v>214.91</v>
      </c>
      <c r="BN111" s="108">
        <f t="shared" si="336"/>
        <v>1656.75</v>
      </c>
      <c r="BO111" s="108">
        <v>1399.61</v>
      </c>
      <c r="BP111" s="127">
        <v>208.15</v>
      </c>
      <c r="BQ111" s="108">
        <f t="shared" si="337"/>
        <v>42.230000000000018</v>
      </c>
      <c r="BR111" s="108">
        <f t="shared" si="338"/>
        <v>6.7599999999999909</v>
      </c>
      <c r="BS111" s="108">
        <f t="shared" si="339"/>
        <v>127.24</v>
      </c>
      <c r="BT111" s="108">
        <f t="shared" si="340"/>
        <v>18.920000000000002</v>
      </c>
      <c r="BU111" s="108">
        <f t="shared" si="364"/>
        <v>85.009999999999977</v>
      </c>
      <c r="BV111" s="143">
        <v>57.09</v>
      </c>
      <c r="BW111" s="109">
        <v>31.6</v>
      </c>
      <c r="BX111" s="143">
        <v>10.64</v>
      </c>
      <c r="BY111" s="143"/>
      <c r="BZ111" s="143"/>
      <c r="CA111" s="108">
        <v>1558.4499999999998</v>
      </c>
      <c r="CB111" s="108">
        <v>282.64</v>
      </c>
      <c r="CC111">
        <v>1714.3</v>
      </c>
      <c r="CD111">
        <v>325.04000000000002</v>
      </c>
      <c r="CE111" s="189">
        <v>143</v>
      </c>
      <c r="CF111" s="189">
        <v>27</v>
      </c>
      <c r="CG111" s="189">
        <f t="shared" si="341"/>
        <v>389.61</v>
      </c>
      <c r="CH111" s="189">
        <f t="shared" si="342"/>
        <v>70.66</v>
      </c>
      <c r="CI111" s="150"/>
      <c r="CJ111" s="150"/>
      <c r="CK111" s="150">
        <v>435</v>
      </c>
      <c r="CL111" s="150">
        <v>21</v>
      </c>
      <c r="CM111" s="150"/>
      <c r="CN111" s="150"/>
      <c r="CO111" s="150">
        <v>1770</v>
      </c>
      <c r="CP111" s="150">
        <v>250</v>
      </c>
      <c r="CQ111" s="150">
        <f t="shared" si="343"/>
        <v>1740</v>
      </c>
      <c r="CR111" s="150">
        <f t="shared" si="344"/>
        <v>84</v>
      </c>
      <c r="CS111" s="150">
        <f t="shared" si="345"/>
        <v>1740</v>
      </c>
      <c r="CT111" s="150">
        <f t="shared" si="346"/>
        <v>84</v>
      </c>
      <c r="CU111" s="150">
        <v>1925</v>
      </c>
      <c r="CV111" s="150">
        <v>297</v>
      </c>
      <c r="CW111" s="150">
        <f>ROUND(CU111*25%,2)+53.75</f>
        <v>535</v>
      </c>
      <c r="CX111" s="150">
        <v>128.5</v>
      </c>
      <c r="CY111" s="150"/>
      <c r="CZ111" s="150"/>
      <c r="DA111" s="150">
        <f t="shared" si="350"/>
        <v>1113</v>
      </c>
      <c r="DB111" s="150">
        <f t="shared" si="351"/>
        <v>176.5</v>
      </c>
      <c r="DC111" s="150">
        <v>1113</v>
      </c>
      <c r="DD111" s="150">
        <v>37.75</v>
      </c>
      <c r="DE111" s="150">
        <f t="shared" si="352"/>
        <v>0</v>
      </c>
      <c r="DF111" s="150">
        <f t="shared" si="353"/>
        <v>138.75</v>
      </c>
      <c r="DG111" s="150">
        <f>ROUND(0.25*(MIN(CU111,DO111)),2)</f>
        <v>481.25</v>
      </c>
      <c r="DH111" s="150">
        <f>ROUND(0.25*(MIN(CV111,DP111)),2)</f>
        <v>73.599999999999994</v>
      </c>
      <c r="DI111" s="150">
        <f>+DG111-DE111+18.75</f>
        <v>500</v>
      </c>
      <c r="DJ111" s="150">
        <f>+DH111-DF111+65.15+10</f>
        <v>10</v>
      </c>
      <c r="DK111" s="104">
        <f t="shared" si="165"/>
        <v>317</v>
      </c>
      <c r="DL111" s="104">
        <f t="shared" si="166"/>
        <v>107.88</v>
      </c>
      <c r="DM111" s="104">
        <f t="shared" si="333"/>
        <v>312</v>
      </c>
      <c r="DN111" s="104">
        <f t="shared" si="334"/>
        <v>110.5</v>
      </c>
      <c r="DO111" s="104">
        <v>1930</v>
      </c>
      <c r="DP111" s="104">
        <v>294.38</v>
      </c>
      <c r="DQ111" s="104">
        <v>2100</v>
      </c>
      <c r="DR111" s="104">
        <v>100</v>
      </c>
    </row>
    <row r="112" spans="1:130" ht="18.75">
      <c r="A112" s="13">
        <v>17</v>
      </c>
      <c r="B112" s="13"/>
      <c r="C112" s="14"/>
      <c r="D112" s="15" t="s">
        <v>173</v>
      </c>
      <c r="E112" s="16"/>
      <c r="F112" s="81">
        <v>1653.5699999999997</v>
      </c>
      <c r="G112" s="81">
        <v>0</v>
      </c>
      <c r="H112" s="81">
        <v>1653.5699999999997</v>
      </c>
      <c r="I112" s="17">
        <v>0</v>
      </c>
      <c r="J112" s="86">
        <v>1997.5</v>
      </c>
      <c r="K112" s="87">
        <v>0</v>
      </c>
      <c r="L112" s="87">
        <v>0</v>
      </c>
      <c r="M112" s="87">
        <f t="shared" si="478"/>
        <v>1997.5</v>
      </c>
      <c r="N112" s="87">
        <v>142.5</v>
      </c>
      <c r="O112" s="87">
        <v>0</v>
      </c>
      <c r="P112" s="87">
        <v>0</v>
      </c>
      <c r="Q112" s="87">
        <f t="shared" si="563"/>
        <v>142.5</v>
      </c>
      <c r="R112" s="87">
        <f t="shared" si="514"/>
        <v>2140</v>
      </c>
      <c r="S112" s="87">
        <v>0</v>
      </c>
      <c r="V112" s="17">
        <f t="shared" si="564"/>
        <v>1749.97</v>
      </c>
      <c r="W112" s="17">
        <f t="shared" si="565"/>
        <v>0</v>
      </c>
      <c r="X112" s="108">
        <f t="shared" si="310"/>
        <v>390.03</v>
      </c>
      <c r="Y112" s="108">
        <f t="shared" si="311"/>
        <v>0</v>
      </c>
      <c r="Z112" s="108">
        <v>1664.97</v>
      </c>
      <c r="AA112" s="108">
        <v>85</v>
      </c>
      <c r="AB112" s="108">
        <f t="shared" si="312"/>
        <v>1749.97</v>
      </c>
      <c r="AC112" s="109">
        <f t="shared" si="313"/>
        <v>0</v>
      </c>
      <c r="AD112" s="108">
        <f t="shared" si="566"/>
        <v>1749.97</v>
      </c>
      <c r="AE112" s="108">
        <f t="shared" si="567"/>
        <v>0</v>
      </c>
      <c r="AF112" s="108">
        <f t="shared" si="314"/>
        <v>0</v>
      </c>
      <c r="AG112" s="108">
        <f t="shared" si="315"/>
        <v>437</v>
      </c>
      <c r="AH112" s="108">
        <f t="shared" si="316"/>
        <v>0</v>
      </c>
      <c r="AI112" s="127">
        <f t="shared" si="317"/>
        <v>146</v>
      </c>
      <c r="AJ112" s="108">
        <f t="shared" si="318"/>
        <v>0</v>
      </c>
      <c r="AM112" s="108">
        <f t="shared" si="319"/>
        <v>437.49</v>
      </c>
      <c r="AN112" s="108">
        <f t="shared" si="320"/>
        <v>0</v>
      </c>
      <c r="AQ112" s="108">
        <f t="shared" si="321"/>
        <v>874.49</v>
      </c>
      <c r="AR112" s="151">
        <f t="shared" si="322"/>
        <v>0</v>
      </c>
      <c r="AS112" s="151"/>
      <c r="AT112" s="151"/>
      <c r="AU112" s="151">
        <f t="shared" si="497"/>
        <v>437.49</v>
      </c>
      <c r="AV112" s="151">
        <f t="shared" si="184"/>
        <v>0</v>
      </c>
      <c r="AW112" s="151"/>
      <c r="AX112" s="151"/>
      <c r="AY112" s="108">
        <f t="shared" si="303"/>
        <v>1457.98</v>
      </c>
      <c r="AZ112" s="108">
        <f t="shared" si="304"/>
        <v>0</v>
      </c>
      <c r="BA112" s="108">
        <f t="shared" si="305"/>
        <v>1457.98</v>
      </c>
      <c r="BB112" s="139">
        <v>833.5</v>
      </c>
      <c r="BD112" s="139">
        <f t="shared" si="306"/>
        <v>624.48</v>
      </c>
      <c r="BE112" s="139">
        <f t="shared" si="307"/>
        <v>0</v>
      </c>
      <c r="BF112" s="139">
        <f t="shared" si="308"/>
        <v>166.7</v>
      </c>
      <c r="BG112" s="139">
        <f t="shared" si="309"/>
        <v>0</v>
      </c>
      <c r="BH112" s="108">
        <v>0</v>
      </c>
      <c r="BI112" s="108">
        <v>0</v>
      </c>
      <c r="BL112" s="108">
        <f t="shared" si="332"/>
        <v>1457.98</v>
      </c>
      <c r="BM112" s="108">
        <f t="shared" si="335"/>
        <v>0</v>
      </c>
      <c r="BN112" s="108">
        <f t="shared" si="336"/>
        <v>1457.98</v>
      </c>
      <c r="BO112" s="108">
        <v>1270.49</v>
      </c>
      <c r="BP112" s="127"/>
      <c r="BQ112" s="108">
        <f t="shared" si="337"/>
        <v>187.49</v>
      </c>
      <c r="BR112" s="108">
        <f t="shared" si="338"/>
        <v>0</v>
      </c>
      <c r="BS112" s="108">
        <f t="shared" si="339"/>
        <v>115.5</v>
      </c>
      <c r="BT112" s="108">
        <f t="shared" si="340"/>
        <v>0</v>
      </c>
      <c r="BU112" s="108">
        <v>0</v>
      </c>
      <c r="BV112" s="108">
        <f>ROUND(BT112-BR112,2)</f>
        <v>0</v>
      </c>
      <c r="CA112" s="108">
        <v>1457.98</v>
      </c>
      <c r="CB112" s="108">
        <v>0</v>
      </c>
      <c r="CC112">
        <v>1603.78</v>
      </c>
      <c r="CD112">
        <v>0</v>
      </c>
      <c r="CE112" s="189">
        <v>134</v>
      </c>
      <c r="CF112" s="189">
        <v>0</v>
      </c>
      <c r="CG112" s="189">
        <f t="shared" si="341"/>
        <v>364.5</v>
      </c>
      <c r="CH112" s="189">
        <f t="shared" si="342"/>
        <v>0</v>
      </c>
      <c r="CI112" s="150"/>
      <c r="CJ112" s="150"/>
      <c r="CK112" s="150">
        <f>435-35</f>
        <v>400</v>
      </c>
      <c r="CL112" s="150">
        <v>0</v>
      </c>
      <c r="CM112" s="150"/>
      <c r="CN112" s="150"/>
      <c r="CO112" s="150">
        <v>2427.56</v>
      </c>
      <c r="CP112" s="150"/>
      <c r="CQ112" s="150">
        <f t="shared" si="343"/>
        <v>1600</v>
      </c>
      <c r="CR112" s="150">
        <f t="shared" si="344"/>
        <v>0</v>
      </c>
      <c r="CS112" s="150">
        <f t="shared" si="345"/>
        <v>1600</v>
      </c>
      <c r="CT112" s="150">
        <f t="shared" si="346"/>
        <v>0</v>
      </c>
      <c r="CU112" s="150">
        <v>1600</v>
      </c>
      <c r="CV112" s="150">
        <v>0</v>
      </c>
      <c r="CW112" s="150">
        <f>ROUND(CU112*25%,2)-400</f>
        <v>0</v>
      </c>
      <c r="CX112" s="150">
        <f>ROUND(CV112*25%,2)</f>
        <v>0</v>
      </c>
      <c r="CY112" s="150"/>
      <c r="CZ112" s="150"/>
      <c r="DA112" s="150">
        <f t="shared" si="350"/>
        <v>534</v>
      </c>
      <c r="DB112" s="150">
        <f t="shared" si="351"/>
        <v>0</v>
      </c>
      <c r="DC112" s="150">
        <v>534</v>
      </c>
      <c r="DD112" s="150">
        <v>0</v>
      </c>
      <c r="DE112" s="150">
        <f t="shared" si="352"/>
        <v>0</v>
      </c>
      <c r="DF112" s="150">
        <f t="shared" si="353"/>
        <v>0</v>
      </c>
      <c r="DG112" s="150">
        <f>ROUND(0.25*(MIN(CU112,DO112)),2)</f>
        <v>400</v>
      </c>
      <c r="DH112" s="150">
        <f>ROUND(0.25*(MIN(CV112,DP112)),2)</f>
        <v>0</v>
      </c>
      <c r="DI112" s="150">
        <f>+DG112-DE112-100</f>
        <v>300</v>
      </c>
      <c r="DJ112" s="150">
        <f>+DH112-DF112</f>
        <v>0</v>
      </c>
      <c r="DK112" s="104">
        <f t="shared" si="165"/>
        <v>766</v>
      </c>
      <c r="DL112" s="104">
        <f t="shared" si="166"/>
        <v>0</v>
      </c>
      <c r="DM112" s="104">
        <f t="shared" si="333"/>
        <v>766</v>
      </c>
      <c r="DN112" s="104">
        <f t="shared" si="334"/>
        <v>0</v>
      </c>
      <c r="DO112" s="104">
        <f>85+1515</f>
        <v>1600</v>
      </c>
      <c r="DQ112" s="178">
        <f>187.45+2604.24</f>
        <v>2791.6899999999996</v>
      </c>
    </row>
    <row r="113" spans="1:129" ht="18.75">
      <c r="A113" s="18"/>
      <c r="B113" s="18" t="s">
        <v>174</v>
      </c>
      <c r="C113" s="19" t="s">
        <v>45</v>
      </c>
      <c r="D113" s="20" t="s">
        <v>172</v>
      </c>
      <c r="E113" s="21" t="s">
        <v>175</v>
      </c>
      <c r="F113" s="22">
        <v>3206.1099999999997</v>
      </c>
      <c r="G113" s="22">
        <v>268.20999999999998</v>
      </c>
      <c r="H113" s="22">
        <v>3206.1099999999997</v>
      </c>
      <c r="I113" s="22">
        <v>268.20999999999998</v>
      </c>
      <c r="J113" s="88">
        <f t="shared" ref="J113:AA113" si="568">+J111+J112</f>
        <v>3797.5</v>
      </c>
      <c r="K113" s="88">
        <f t="shared" si="568"/>
        <v>0</v>
      </c>
      <c r="L113" s="88">
        <f t="shared" si="568"/>
        <v>0</v>
      </c>
      <c r="M113" s="88">
        <f t="shared" si="568"/>
        <v>3797.5</v>
      </c>
      <c r="N113" s="88">
        <f t="shared" si="568"/>
        <v>142.5</v>
      </c>
      <c r="O113" s="88">
        <f t="shared" si="568"/>
        <v>0</v>
      </c>
      <c r="P113" s="88">
        <f t="shared" si="568"/>
        <v>0</v>
      </c>
      <c r="Q113" s="88">
        <f t="shared" si="568"/>
        <v>142.5</v>
      </c>
      <c r="R113" s="88">
        <f t="shared" si="568"/>
        <v>3940</v>
      </c>
      <c r="S113" s="88">
        <f t="shared" si="568"/>
        <v>250</v>
      </c>
      <c r="T113" s="88">
        <f t="shared" si="568"/>
        <v>0</v>
      </c>
      <c r="U113" s="88">
        <f t="shared" si="568"/>
        <v>0</v>
      </c>
      <c r="V113" s="88">
        <f t="shared" si="568"/>
        <v>3393.02</v>
      </c>
      <c r="W113" s="88">
        <f t="shared" si="568"/>
        <v>276.98</v>
      </c>
      <c r="X113" s="88">
        <f t="shared" si="568"/>
        <v>546.98</v>
      </c>
      <c r="Y113" s="88">
        <f t="shared" si="568"/>
        <v>-26.980000000000018</v>
      </c>
      <c r="Z113" s="88">
        <f t="shared" si="568"/>
        <v>3308.02</v>
      </c>
      <c r="AA113" s="88">
        <f t="shared" si="568"/>
        <v>85</v>
      </c>
      <c r="AB113" s="22">
        <f t="shared" si="312"/>
        <v>3393.02</v>
      </c>
      <c r="AC113" s="109">
        <f t="shared" si="313"/>
        <v>0</v>
      </c>
      <c r="AD113" s="22">
        <f t="shared" ref="AD113:CO113" si="569">+AD111+AD112</f>
        <v>3393.02</v>
      </c>
      <c r="AE113" s="22">
        <f t="shared" si="569"/>
        <v>250</v>
      </c>
      <c r="AF113" s="22">
        <f t="shared" si="569"/>
        <v>225.55</v>
      </c>
      <c r="AG113" s="22">
        <f t="shared" si="569"/>
        <v>848</v>
      </c>
      <c r="AH113" s="22">
        <f t="shared" si="569"/>
        <v>63</v>
      </c>
      <c r="AI113" s="118">
        <f t="shared" si="569"/>
        <v>283</v>
      </c>
      <c r="AJ113" s="22">
        <f t="shared" si="569"/>
        <v>21</v>
      </c>
      <c r="AK113" s="22">
        <f t="shared" si="569"/>
        <v>0</v>
      </c>
      <c r="AL113" s="22">
        <f t="shared" si="569"/>
        <v>0</v>
      </c>
      <c r="AM113" s="22">
        <f t="shared" si="569"/>
        <v>848.25</v>
      </c>
      <c r="AN113" s="22">
        <f t="shared" si="569"/>
        <v>60.88</v>
      </c>
      <c r="AO113" s="22">
        <f t="shared" si="569"/>
        <v>0</v>
      </c>
      <c r="AP113" s="22">
        <f t="shared" si="569"/>
        <v>0</v>
      </c>
      <c r="AQ113" s="22">
        <f t="shared" si="569"/>
        <v>1696.25</v>
      </c>
      <c r="AR113" s="22">
        <f t="shared" si="569"/>
        <v>123.88</v>
      </c>
      <c r="AS113" s="22">
        <f t="shared" si="569"/>
        <v>0</v>
      </c>
      <c r="AT113" s="22">
        <f t="shared" si="569"/>
        <v>0</v>
      </c>
      <c r="AU113" s="22">
        <f t="shared" si="569"/>
        <v>848.25</v>
      </c>
      <c r="AV113" s="22">
        <f t="shared" si="569"/>
        <v>62.5</v>
      </c>
      <c r="AW113" s="22">
        <f t="shared" si="569"/>
        <v>0</v>
      </c>
      <c r="AX113" s="22">
        <f t="shared" si="569"/>
        <v>0</v>
      </c>
      <c r="AY113" s="22">
        <f t="shared" si="569"/>
        <v>2827.5</v>
      </c>
      <c r="AZ113" s="22">
        <f t="shared" si="569"/>
        <v>207.38</v>
      </c>
      <c r="BA113" s="22">
        <f t="shared" si="569"/>
        <v>3034.88</v>
      </c>
      <c r="BB113" s="22">
        <f t="shared" si="569"/>
        <v>2095.29</v>
      </c>
      <c r="BC113" s="22">
        <f t="shared" si="569"/>
        <v>185.37</v>
      </c>
      <c r="BD113" s="22">
        <f t="shared" si="569"/>
        <v>732.21</v>
      </c>
      <c r="BE113" s="22">
        <f t="shared" si="569"/>
        <v>22.009999999999991</v>
      </c>
      <c r="BF113" s="22">
        <f t="shared" si="569"/>
        <v>419.06</v>
      </c>
      <c r="BG113" s="118">
        <f t="shared" si="569"/>
        <v>37.07</v>
      </c>
      <c r="BH113" s="118">
        <f t="shared" si="569"/>
        <v>72.319999999999993</v>
      </c>
      <c r="BI113" s="118">
        <f t="shared" si="569"/>
        <v>7.53</v>
      </c>
      <c r="BJ113" s="118">
        <f t="shared" si="569"/>
        <v>0</v>
      </c>
      <c r="BK113" s="118">
        <f t="shared" si="569"/>
        <v>0</v>
      </c>
      <c r="BL113" s="118">
        <f t="shared" si="569"/>
        <v>2899.8199999999997</v>
      </c>
      <c r="BM113" s="118">
        <f t="shared" si="569"/>
        <v>214.91</v>
      </c>
      <c r="BN113" s="118">
        <f t="shared" si="569"/>
        <v>3114.73</v>
      </c>
      <c r="BO113" s="118">
        <f t="shared" si="569"/>
        <v>2670.1</v>
      </c>
      <c r="BP113" s="118">
        <f t="shared" si="569"/>
        <v>208.15</v>
      </c>
      <c r="BQ113" s="22">
        <f t="shared" si="569"/>
        <v>229.72000000000003</v>
      </c>
      <c r="BR113" s="22">
        <f t="shared" si="569"/>
        <v>6.7599999999999909</v>
      </c>
      <c r="BS113" s="22">
        <f t="shared" si="569"/>
        <v>242.74</v>
      </c>
      <c r="BT113" s="22">
        <f t="shared" si="569"/>
        <v>18.920000000000002</v>
      </c>
      <c r="BU113" s="22">
        <f t="shared" si="569"/>
        <v>85.009999999999977</v>
      </c>
      <c r="BV113" s="22">
        <f t="shared" si="569"/>
        <v>57.09</v>
      </c>
      <c r="BW113" s="22">
        <f t="shared" si="569"/>
        <v>31.6</v>
      </c>
      <c r="BX113" s="22">
        <f t="shared" si="569"/>
        <v>10.64</v>
      </c>
      <c r="BY113" s="22">
        <f t="shared" si="569"/>
        <v>0</v>
      </c>
      <c r="BZ113" s="22">
        <f t="shared" si="569"/>
        <v>0</v>
      </c>
      <c r="CA113" s="22">
        <f t="shared" si="569"/>
        <v>3016.43</v>
      </c>
      <c r="CB113" s="22">
        <f t="shared" si="569"/>
        <v>282.64</v>
      </c>
      <c r="CC113" s="22">
        <f t="shared" si="569"/>
        <v>3318.08</v>
      </c>
      <c r="CD113" s="118">
        <f t="shared" si="569"/>
        <v>325.04000000000002</v>
      </c>
      <c r="CE113" s="190">
        <f t="shared" si="569"/>
        <v>277</v>
      </c>
      <c r="CF113" s="190">
        <f t="shared" si="569"/>
        <v>27</v>
      </c>
      <c r="CG113" s="190">
        <f t="shared" si="569"/>
        <v>754.11</v>
      </c>
      <c r="CH113" s="190">
        <f t="shared" si="569"/>
        <v>70.66</v>
      </c>
      <c r="CI113" s="190">
        <f t="shared" si="569"/>
        <v>0</v>
      </c>
      <c r="CJ113" s="190">
        <f t="shared" si="569"/>
        <v>0</v>
      </c>
      <c r="CK113" s="190">
        <f t="shared" si="569"/>
        <v>835</v>
      </c>
      <c r="CL113" s="190">
        <f t="shared" si="569"/>
        <v>21</v>
      </c>
      <c r="CM113" s="190">
        <f t="shared" si="569"/>
        <v>0</v>
      </c>
      <c r="CN113" s="190">
        <f t="shared" si="569"/>
        <v>0</v>
      </c>
      <c r="CO113" s="190">
        <f t="shared" si="569"/>
        <v>4197.5599999999995</v>
      </c>
      <c r="CP113" s="190">
        <f t="shared" ref="CP113:DP113" si="570">+CP111+CP112</f>
        <v>250</v>
      </c>
      <c r="CQ113" s="190">
        <f t="shared" si="570"/>
        <v>3340</v>
      </c>
      <c r="CR113" s="190">
        <f t="shared" si="570"/>
        <v>84</v>
      </c>
      <c r="CS113" s="190">
        <f t="shared" si="570"/>
        <v>3340</v>
      </c>
      <c r="CT113" s="190">
        <f t="shared" si="570"/>
        <v>84</v>
      </c>
      <c r="CU113" s="190">
        <f t="shared" si="570"/>
        <v>3525</v>
      </c>
      <c r="CV113" s="190">
        <f t="shared" si="570"/>
        <v>297</v>
      </c>
      <c r="CW113" s="190">
        <f t="shared" si="570"/>
        <v>535</v>
      </c>
      <c r="CX113" s="190">
        <f t="shared" si="570"/>
        <v>128.5</v>
      </c>
      <c r="CY113" s="190">
        <f t="shared" si="570"/>
        <v>0</v>
      </c>
      <c r="CZ113" s="190">
        <f t="shared" si="570"/>
        <v>0</v>
      </c>
      <c r="DA113" s="190">
        <f t="shared" si="570"/>
        <v>1647</v>
      </c>
      <c r="DB113" s="190">
        <f t="shared" si="570"/>
        <v>176.5</v>
      </c>
      <c r="DC113" s="190">
        <f t="shared" si="570"/>
        <v>1647</v>
      </c>
      <c r="DD113" s="190">
        <f t="shared" si="570"/>
        <v>37.75</v>
      </c>
      <c r="DE113" s="190">
        <f t="shared" si="570"/>
        <v>0</v>
      </c>
      <c r="DF113" s="190">
        <f t="shared" si="570"/>
        <v>138.75</v>
      </c>
      <c r="DG113" s="190">
        <f t="shared" si="570"/>
        <v>881.25</v>
      </c>
      <c r="DH113" s="190">
        <f t="shared" si="570"/>
        <v>73.599999999999994</v>
      </c>
      <c r="DI113" s="190">
        <f t="shared" si="570"/>
        <v>800</v>
      </c>
      <c r="DJ113" s="190">
        <f t="shared" si="570"/>
        <v>10</v>
      </c>
      <c r="DK113" s="104">
        <f t="shared" si="165"/>
        <v>1083</v>
      </c>
      <c r="DL113" s="104">
        <f t="shared" si="166"/>
        <v>107.88</v>
      </c>
      <c r="DM113" s="104">
        <f t="shared" si="333"/>
        <v>1078</v>
      </c>
      <c r="DN113" s="104">
        <f t="shared" si="334"/>
        <v>110.5</v>
      </c>
      <c r="DO113" s="22">
        <f t="shared" si="570"/>
        <v>3530</v>
      </c>
      <c r="DP113" s="22">
        <f t="shared" si="570"/>
        <v>294.38</v>
      </c>
      <c r="DQ113" s="22">
        <f t="shared" ref="DQ113:DY113" si="571">+DQ111+DQ112</f>
        <v>4891.6899999999996</v>
      </c>
      <c r="DR113" s="22">
        <f t="shared" si="571"/>
        <v>100</v>
      </c>
      <c r="DS113" s="22">
        <f t="shared" si="571"/>
        <v>0</v>
      </c>
      <c r="DT113" s="22">
        <f t="shared" si="571"/>
        <v>0</v>
      </c>
      <c r="DU113" s="22">
        <f t="shared" si="571"/>
        <v>0</v>
      </c>
      <c r="DV113" s="22">
        <f t="shared" si="571"/>
        <v>0</v>
      </c>
      <c r="DW113" s="22">
        <f t="shared" si="571"/>
        <v>0</v>
      </c>
      <c r="DX113" s="22">
        <f t="shared" si="571"/>
        <v>0</v>
      </c>
      <c r="DY113" s="22">
        <f t="shared" si="571"/>
        <v>0</v>
      </c>
    </row>
    <row r="114" spans="1:129" ht="18.75">
      <c r="A114" s="18">
        <v>18</v>
      </c>
      <c r="B114" s="18" t="s">
        <v>176</v>
      </c>
      <c r="C114" s="19" t="s">
        <v>64</v>
      </c>
      <c r="D114" s="7" t="s">
        <v>177</v>
      </c>
      <c r="E114" s="21">
        <v>720200</v>
      </c>
      <c r="F114" s="81">
        <v>726.06</v>
      </c>
      <c r="G114" s="81">
        <v>113.11999999999999</v>
      </c>
      <c r="H114" s="81">
        <v>726.06</v>
      </c>
      <c r="I114" s="22">
        <v>113.11999999999999</v>
      </c>
      <c r="J114" s="88">
        <v>800.1</v>
      </c>
      <c r="K114" s="88">
        <v>0</v>
      </c>
      <c r="L114" s="88">
        <v>0</v>
      </c>
      <c r="M114" s="88">
        <f>L114+K114+J114</f>
        <v>800.1</v>
      </c>
      <c r="N114" s="88">
        <v>0</v>
      </c>
      <c r="O114" s="88">
        <v>0</v>
      </c>
      <c r="P114" s="88">
        <v>0</v>
      </c>
      <c r="Q114" s="88">
        <f>P114+O114+N114</f>
        <v>0</v>
      </c>
      <c r="R114" s="88">
        <f>+Q114+M114</f>
        <v>800.1</v>
      </c>
      <c r="S114" s="88">
        <v>0</v>
      </c>
      <c r="V114" s="22">
        <f t="shared" ref="V114:V115" si="572">ROUND(H114*1.0583,2)</f>
        <v>768.39</v>
      </c>
      <c r="W114" s="22">
        <f t="shared" ref="W114:W115" si="573">ROUND(I114*1.0327,2)</f>
        <v>116.82</v>
      </c>
      <c r="X114" s="22">
        <f t="shared" si="310"/>
        <v>31.710000000000036</v>
      </c>
      <c r="Y114" s="22">
        <f t="shared" si="311"/>
        <v>-116.82</v>
      </c>
      <c r="Z114" s="22">
        <v>768.39</v>
      </c>
      <c r="AA114" s="22"/>
      <c r="AB114" s="22">
        <f t="shared" si="312"/>
        <v>768.39</v>
      </c>
      <c r="AC114" s="109">
        <f t="shared" si="313"/>
        <v>0</v>
      </c>
      <c r="AD114" s="22">
        <f t="shared" ref="AD114:AD115" si="574">IF(X114&gt;0,V114,R114)</f>
        <v>768.39</v>
      </c>
      <c r="AE114" s="22">
        <f>IF(Y114&gt;0,W114,S114)+13.75</f>
        <v>13.75</v>
      </c>
      <c r="AF114" s="22">
        <f t="shared" si="314"/>
        <v>0</v>
      </c>
      <c r="AG114" s="108">
        <f t="shared" si="315"/>
        <v>192</v>
      </c>
      <c r="AH114" s="108">
        <f>ROUND(AE114/4,0)-3</f>
        <v>0</v>
      </c>
      <c r="AI114" s="127">
        <f t="shared" si="317"/>
        <v>64</v>
      </c>
      <c r="AJ114" s="108">
        <f>ROUND(AE114/12,0)-1</f>
        <v>0</v>
      </c>
      <c r="AK114" s="143"/>
      <c r="AL114" s="143">
        <v>13.75</v>
      </c>
      <c r="AM114" s="108">
        <f t="shared" si="319"/>
        <v>192.1</v>
      </c>
      <c r="AN114" s="116">
        <f>ROUND(AE114*24.35%,2)-3.35</f>
        <v>0</v>
      </c>
      <c r="AO114" s="143">
        <v>46.65</v>
      </c>
      <c r="AP114" s="116"/>
      <c r="AQ114" s="116">
        <f t="shared" si="321"/>
        <v>430.75</v>
      </c>
      <c r="AR114" s="138">
        <f t="shared" si="322"/>
        <v>13.75</v>
      </c>
      <c r="AS114" s="138"/>
      <c r="AT114" s="138"/>
      <c r="AU114" s="138">
        <f t="shared" si="497"/>
        <v>192.1</v>
      </c>
      <c r="AV114" s="138">
        <v>0</v>
      </c>
      <c r="AW114" s="142">
        <v>41.1</v>
      </c>
      <c r="AX114" s="142">
        <v>1.38</v>
      </c>
      <c r="AY114" s="108">
        <f t="shared" si="303"/>
        <v>727.95</v>
      </c>
      <c r="AZ114" s="108">
        <f t="shared" si="304"/>
        <v>15.129999999999999</v>
      </c>
      <c r="BA114" s="108">
        <f t="shared" si="305"/>
        <v>743.08</v>
      </c>
      <c r="BB114" s="139">
        <v>727.78</v>
      </c>
      <c r="BC114" s="139">
        <v>15.13</v>
      </c>
      <c r="BD114" s="139">
        <f t="shared" si="306"/>
        <v>0.17000000000007276</v>
      </c>
      <c r="BE114" s="139">
        <f t="shared" si="307"/>
        <v>0</v>
      </c>
      <c r="BF114" s="139">
        <f t="shared" si="308"/>
        <v>145.56</v>
      </c>
      <c r="BG114" s="139">
        <f t="shared" si="309"/>
        <v>3.03</v>
      </c>
      <c r="BH114" s="108">
        <v>77</v>
      </c>
      <c r="BI114" s="108">
        <v>0</v>
      </c>
      <c r="BL114" s="108">
        <f t="shared" si="332"/>
        <v>804.95</v>
      </c>
      <c r="BM114" s="108">
        <f t="shared" si="335"/>
        <v>15.129999999999999</v>
      </c>
      <c r="BN114" s="108">
        <f t="shared" si="336"/>
        <v>820.08</v>
      </c>
      <c r="BO114" s="108">
        <v>804.31</v>
      </c>
      <c r="BP114" s="127">
        <v>15.13</v>
      </c>
      <c r="BQ114" s="108">
        <f t="shared" si="337"/>
        <v>0.64000000000010004</v>
      </c>
      <c r="BR114" s="108">
        <f t="shared" si="338"/>
        <v>0</v>
      </c>
      <c r="BS114" s="108">
        <f t="shared" si="339"/>
        <v>73.12</v>
      </c>
      <c r="BT114" s="108">
        <f t="shared" si="340"/>
        <v>1.38</v>
      </c>
      <c r="BU114" s="143">
        <v>70</v>
      </c>
      <c r="BV114" s="108">
        <v>0</v>
      </c>
      <c r="BW114" s="109">
        <v>6</v>
      </c>
      <c r="CA114" s="108">
        <v>880.95</v>
      </c>
      <c r="CB114" s="108">
        <v>15.129999999999999</v>
      </c>
      <c r="CC114">
        <v>969.05</v>
      </c>
      <c r="CD114">
        <v>17.399999999999999</v>
      </c>
      <c r="CE114" s="189">
        <v>81</v>
      </c>
      <c r="CF114" s="189">
        <v>0</v>
      </c>
      <c r="CG114" s="189">
        <f t="shared" si="341"/>
        <v>220.24</v>
      </c>
      <c r="CH114" s="189">
        <f t="shared" si="342"/>
        <v>3.78</v>
      </c>
      <c r="CI114" s="150"/>
      <c r="CJ114" s="150"/>
      <c r="CK114" s="150">
        <v>240</v>
      </c>
      <c r="CL114" s="150">
        <v>0</v>
      </c>
      <c r="CM114" s="150"/>
      <c r="CN114" s="150"/>
      <c r="CO114" s="150">
        <v>950.05</v>
      </c>
      <c r="CP114" s="150">
        <v>0</v>
      </c>
      <c r="CQ114" s="150">
        <f t="shared" si="343"/>
        <v>960</v>
      </c>
      <c r="CR114" s="150">
        <f t="shared" si="344"/>
        <v>0</v>
      </c>
      <c r="CS114" s="150">
        <f t="shared" si="345"/>
        <v>950.05</v>
      </c>
      <c r="CT114" s="150">
        <f t="shared" si="346"/>
        <v>0</v>
      </c>
      <c r="CU114" s="150">
        <v>1019.5</v>
      </c>
      <c r="CV114" s="150">
        <v>0</v>
      </c>
      <c r="CW114" s="150">
        <f t="shared" si="349"/>
        <v>254.88</v>
      </c>
      <c r="CX114" s="150">
        <f t="shared" ref="CX114:CX178" si="575">ROUND(CV114*25%,2)</f>
        <v>0</v>
      </c>
      <c r="CY114" s="150"/>
      <c r="CZ114" s="150"/>
      <c r="DA114" s="150">
        <f t="shared" si="350"/>
        <v>575.88</v>
      </c>
      <c r="DB114" s="150">
        <f t="shared" si="351"/>
        <v>0</v>
      </c>
      <c r="DC114" s="150">
        <v>575.09</v>
      </c>
      <c r="DD114" s="150">
        <v>0</v>
      </c>
      <c r="DE114" s="150">
        <f t="shared" si="352"/>
        <v>0.78999999999996362</v>
      </c>
      <c r="DF114" s="150">
        <f t="shared" si="353"/>
        <v>0</v>
      </c>
      <c r="DG114" s="150">
        <f t="shared" ref="DG114:DH116" si="576">ROUND(0.25*(MIN(CU114,DO114)),2)</f>
        <v>254.88</v>
      </c>
      <c r="DH114" s="150">
        <f t="shared" si="576"/>
        <v>0</v>
      </c>
      <c r="DI114" s="150">
        <f t="shared" si="354"/>
        <v>254.09000000000003</v>
      </c>
      <c r="DJ114" s="150">
        <f>+DH114-DF114</f>
        <v>0</v>
      </c>
      <c r="DK114" s="104">
        <f t="shared" ref="DK114:DK177" si="577">+DO114-DA114-DI114</f>
        <v>189.53000000000009</v>
      </c>
      <c r="DL114" s="104">
        <f t="shared" ref="DL114:DL177" si="578">+DP114-DB114-DJ114</f>
        <v>0</v>
      </c>
      <c r="DM114" s="104">
        <f t="shared" si="333"/>
        <v>189.52999999999997</v>
      </c>
      <c r="DN114" s="104">
        <f t="shared" si="334"/>
        <v>0</v>
      </c>
      <c r="DO114" s="104">
        <v>1019.5000000000001</v>
      </c>
      <c r="DQ114" s="104">
        <v>1080.0999999999999</v>
      </c>
    </row>
    <row r="115" spans="1:129" ht="18.75">
      <c r="A115" s="13">
        <v>19</v>
      </c>
      <c r="B115" s="13"/>
      <c r="C115" s="14"/>
      <c r="D115" s="15" t="s">
        <v>178</v>
      </c>
      <c r="E115" s="16"/>
      <c r="F115" s="81">
        <v>566.9</v>
      </c>
      <c r="G115" s="81">
        <v>94.660000000000011</v>
      </c>
      <c r="H115" s="81">
        <v>572.9</v>
      </c>
      <c r="I115" s="17">
        <v>94.660000000000011</v>
      </c>
      <c r="J115" s="86">
        <v>750</v>
      </c>
      <c r="K115" s="87">
        <v>0</v>
      </c>
      <c r="L115" s="87">
        <v>0</v>
      </c>
      <c r="M115" s="87">
        <f t="shared" ref="M115:M116" si="579">J115+K115+L115</f>
        <v>750</v>
      </c>
      <c r="N115" s="87">
        <v>0</v>
      </c>
      <c r="O115" s="87">
        <v>0</v>
      </c>
      <c r="P115" s="87">
        <v>0</v>
      </c>
      <c r="Q115" s="87">
        <f t="shared" ref="Q115:Q116" si="580">N115+O115+P115</f>
        <v>0</v>
      </c>
      <c r="R115" s="87">
        <f t="shared" ref="R115:R116" si="581">Q115+M115</f>
        <v>750</v>
      </c>
      <c r="S115" s="87">
        <v>119</v>
      </c>
      <c r="V115" s="17">
        <f t="shared" si="572"/>
        <v>606.29999999999995</v>
      </c>
      <c r="W115" s="17">
        <f t="shared" si="573"/>
        <v>97.76</v>
      </c>
      <c r="X115" s="108">
        <f t="shared" si="310"/>
        <v>143.70000000000005</v>
      </c>
      <c r="Y115" s="108">
        <f t="shared" si="311"/>
        <v>21.239999999999995</v>
      </c>
      <c r="Z115" s="108">
        <v>606.29999999999995</v>
      </c>
      <c r="AA115" s="108"/>
      <c r="AB115" s="108">
        <f t="shared" si="312"/>
        <v>606.29999999999995</v>
      </c>
      <c r="AC115" s="109">
        <f t="shared" si="313"/>
        <v>0</v>
      </c>
      <c r="AD115" s="108">
        <f t="shared" si="574"/>
        <v>606.29999999999995</v>
      </c>
      <c r="AE115" s="108">
        <f t="shared" ref="AE115" si="582">IF(Y115&gt;0,W115,S115)</f>
        <v>97.76</v>
      </c>
      <c r="AF115" s="108">
        <f t="shared" si="314"/>
        <v>107.36</v>
      </c>
      <c r="AG115" s="108">
        <f t="shared" si="315"/>
        <v>152</v>
      </c>
      <c r="AH115" s="108">
        <f t="shared" si="316"/>
        <v>24</v>
      </c>
      <c r="AI115" s="127">
        <f t="shared" si="317"/>
        <v>51</v>
      </c>
      <c r="AJ115" s="108">
        <f t="shared" si="318"/>
        <v>8</v>
      </c>
      <c r="AK115" s="143">
        <v>15</v>
      </c>
      <c r="AL115" s="143"/>
      <c r="AM115" s="108">
        <f t="shared" si="319"/>
        <v>151.58000000000001</v>
      </c>
      <c r="AN115" s="116">
        <f>ROUND(AE115*24.35%,2)+9.46</f>
        <v>33.260000000000005</v>
      </c>
      <c r="AO115" s="116"/>
      <c r="AP115" s="143">
        <v>26.74</v>
      </c>
      <c r="AQ115" s="116">
        <f t="shared" si="321"/>
        <v>318.58000000000004</v>
      </c>
      <c r="AR115" s="138">
        <f t="shared" si="322"/>
        <v>84</v>
      </c>
      <c r="AS115" s="138">
        <v>20</v>
      </c>
      <c r="AT115" s="138"/>
      <c r="AU115" s="138">
        <f t="shared" si="497"/>
        <v>151.58000000000001</v>
      </c>
      <c r="AV115" s="138">
        <v>0</v>
      </c>
      <c r="AW115" s="138"/>
      <c r="AX115" s="138"/>
      <c r="AY115" s="108">
        <f t="shared" si="303"/>
        <v>541.16000000000008</v>
      </c>
      <c r="AZ115" s="108">
        <f t="shared" si="304"/>
        <v>92</v>
      </c>
      <c r="BA115" s="108">
        <f t="shared" si="305"/>
        <v>633.16000000000008</v>
      </c>
      <c r="BB115" s="139">
        <v>539.78</v>
      </c>
      <c r="BC115" s="139">
        <v>84.62</v>
      </c>
      <c r="BD115" s="139">
        <f t="shared" si="306"/>
        <v>1.3800000000001091</v>
      </c>
      <c r="BE115" s="139">
        <f t="shared" si="307"/>
        <v>7.3799999999999955</v>
      </c>
      <c r="BF115" s="139">
        <f t="shared" si="308"/>
        <v>107.96</v>
      </c>
      <c r="BG115" s="139">
        <f t="shared" si="309"/>
        <v>16.920000000000002</v>
      </c>
      <c r="BH115" s="108">
        <v>53.29</v>
      </c>
      <c r="BI115" s="108">
        <v>0</v>
      </c>
      <c r="BL115" s="108">
        <f t="shared" si="332"/>
        <v>594.45000000000005</v>
      </c>
      <c r="BM115" s="108">
        <f t="shared" si="335"/>
        <v>92</v>
      </c>
      <c r="BN115" s="108">
        <f t="shared" si="336"/>
        <v>686.45</v>
      </c>
      <c r="BO115" s="108">
        <v>592.47</v>
      </c>
      <c r="BP115" s="127">
        <v>57.59</v>
      </c>
      <c r="BQ115" s="108">
        <f t="shared" si="337"/>
        <v>1.9800000000000182</v>
      </c>
      <c r="BR115" s="108">
        <f t="shared" si="338"/>
        <v>34.409999999999997</v>
      </c>
      <c r="BS115" s="108">
        <f t="shared" si="339"/>
        <v>53.86</v>
      </c>
      <c r="BT115" s="108">
        <f t="shared" si="340"/>
        <v>5.24</v>
      </c>
      <c r="BU115" s="143">
        <v>55</v>
      </c>
      <c r="BV115" s="108">
        <v>0</v>
      </c>
      <c r="BX115" s="108">
        <v>51.25</v>
      </c>
      <c r="CA115" s="108">
        <v>649.45000000000005</v>
      </c>
      <c r="CB115" s="108">
        <v>143.25</v>
      </c>
      <c r="CC115">
        <v>714.4</v>
      </c>
      <c r="CD115">
        <v>164.74</v>
      </c>
      <c r="CE115" s="189">
        <v>60</v>
      </c>
      <c r="CF115" s="189">
        <v>14</v>
      </c>
      <c r="CG115" s="189">
        <f t="shared" si="341"/>
        <v>162.36000000000001</v>
      </c>
      <c r="CH115" s="189">
        <f t="shared" si="342"/>
        <v>35.81</v>
      </c>
      <c r="CI115" s="150"/>
      <c r="CJ115" s="150"/>
      <c r="CK115" s="150">
        <v>180</v>
      </c>
      <c r="CL115" s="150">
        <f>81-30</f>
        <v>51</v>
      </c>
      <c r="CM115" s="150"/>
      <c r="CN115" s="150"/>
      <c r="CO115" s="150">
        <v>750</v>
      </c>
      <c r="CP115" s="150">
        <v>85</v>
      </c>
      <c r="CQ115" s="150">
        <f t="shared" si="343"/>
        <v>720</v>
      </c>
      <c r="CR115" s="150">
        <f t="shared" si="344"/>
        <v>204</v>
      </c>
      <c r="CS115" s="150">
        <f t="shared" si="345"/>
        <v>720</v>
      </c>
      <c r="CT115" s="150">
        <f t="shared" si="346"/>
        <v>85</v>
      </c>
      <c r="CU115" s="150">
        <v>720</v>
      </c>
      <c r="CV115" s="150">
        <v>100</v>
      </c>
      <c r="CW115" s="150">
        <f t="shared" si="349"/>
        <v>180</v>
      </c>
      <c r="CX115" s="150">
        <f>ROUND(CV115*25%,2)-25</f>
        <v>0</v>
      </c>
      <c r="CY115" s="150"/>
      <c r="CZ115" s="150">
        <v>12</v>
      </c>
      <c r="DA115" s="150">
        <f t="shared" si="350"/>
        <v>420</v>
      </c>
      <c r="DB115" s="150">
        <f t="shared" si="351"/>
        <v>77</v>
      </c>
      <c r="DC115" s="150">
        <v>399.9</v>
      </c>
      <c r="DD115" s="150">
        <v>76.599999999999994</v>
      </c>
      <c r="DE115" s="150">
        <f t="shared" si="352"/>
        <v>20.100000000000023</v>
      </c>
      <c r="DF115" s="150">
        <f t="shared" si="353"/>
        <v>0.40000000000000568</v>
      </c>
      <c r="DG115" s="150">
        <f t="shared" si="576"/>
        <v>180</v>
      </c>
      <c r="DH115" s="150">
        <f t="shared" si="576"/>
        <v>17.690000000000001</v>
      </c>
      <c r="DI115" s="150">
        <f t="shared" si="354"/>
        <v>159.89999999999998</v>
      </c>
      <c r="DJ115" s="150">
        <f>+DH115-DF115-17.29</f>
        <v>0</v>
      </c>
      <c r="DK115" s="104">
        <f t="shared" si="577"/>
        <v>140.10000000000002</v>
      </c>
      <c r="DL115" s="104">
        <f t="shared" si="578"/>
        <v>-6.2600000000000051</v>
      </c>
      <c r="DM115" s="104">
        <f t="shared" si="333"/>
        <v>140.10000000000002</v>
      </c>
      <c r="DN115" s="104">
        <f t="shared" si="334"/>
        <v>23</v>
      </c>
      <c r="DO115" s="104">
        <v>720</v>
      </c>
      <c r="DP115" s="178">
        <v>70.739999999999995</v>
      </c>
      <c r="DQ115" s="104">
        <v>760</v>
      </c>
      <c r="DR115" s="104">
        <v>240</v>
      </c>
    </row>
    <row r="116" spans="1:129" ht="37.5">
      <c r="A116" s="13">
        <v>20</v>
      </c>
      <c r="B116" s="13"/>
      <c r="C116" s="14"/>
      <c r="D116" s="15" t="s">
        <v>179</v>
      </c>
      <c r="E116" s="16"/>
      <c r="F116" s="81">
        <v>297.16000000000003</v>
      </c>
      <c r="G116" s="81">
        <v>0</v>
      </c>
      <c r="H116" s="81">
        <v>297.16000000000003</v>
      </c>
      <c r="I116" s="17">
        <v>0</v>
      </c>
      <c r="J116" s="86">
        <v>625</v>
      </c>
      <c r="K116" s="87">
        <v>0</v>
      </c>
      <c r="L116" s="87">
        <v>0</v>
      </c>
      <c r="M116" s="87">
        <f t="shared" si="579"/>
        <v>625</v>
      </c>
      <c r="N116" s="87">
        <v>0</v>
      </c>
      <c r="O116" s="87">
        <v>0</v>
      </c>
      <c r="P116" s="87">
        <v>0</v>
      </c>
      <c r="Q116" s="87">
        <f t="shared" si="580"/>
        <v>0</v>
      </c>
      <c r="R116" s="87">
        <f t="shared" si="581"/>
        <v>625</v>
      </c>
      <c r="S116" s="87">
        <v>0</v>
      </c>
      <c r="V116" s="17">
        <f t="shared" ref="V116" si="583">ROUND(H116*1.0583,2)</f>
        <v>314.48</v>
      </c>
      <c r="W116" s="17">
        <f t="shared" ref="W116" si="584">ROUND(I116*1.0327,2)</f>
        <v>0</v>
      </c>
      <c r="X116" s="108">
        <f t="shared" si="310"/>
        <v>310.52</v>
      </c>
      <c r="Y116" s="108">
        <f t="shared" si="311"/>
        <v>0</v>
      </c>
      <c r="Z116" s="108">
        <v>314.48</v>
      </c>
      <c r="AA116" s="108"/>
      <c r="AB116" s="108">
        <f t="shared" si="312"/>
        <v>314.48</v>
      </c>
      <c r="AC116" s="109">
        <f t="shared" si="313"/>
        <v>0</v>
      </c>
      <c r="AD116" s="108">
        <f t="shared" ref="AD116" si="585">IF(X116&gt;0,V116,R116)</f>
        <v>314.48</v>
      </c>
      <c r="AE116" s="108">
        <f t="shared" ref="AE116" si="586">IF(Y116&gt;0,W116,S116)</f>
        <v>0</v>
      </c>
      <c r="AF116" s="108">
        <f t="shared" si="314"/>
        <v>0</v>
      </c>
      <c r="AG116" s="108">
        <f t="shared" si="315"/>
        <v>79</v>
      </c>
      <c r="AH116" s="108">
        <f t="shared" si="316"/>
        <v>0</v>
      </c>
      <c r="AI116" s="127">
        <f t="shared" si="317"/>
        <v>26</v>
      </c>
      <c r="AJ116" s="108">
        <f t="shared" si="318"/>
        <v>0</v>
      </c>
      <c r="AM116" s="108">
        <f t="shared" si="319"/>
        <v>78.62</v>
      </c>
      <c r="AN116" s="116">
        <f t="shared" si="320"/>
        <v>0</v>
      </c>
      <c r="AO116" s="116"/>
      <c r="AP116" s="116"/>
      <c r="AQ116" s="116">
        <f t="shared" si="321"/>
        <v>157.62</v>
      </c>
      <c r="AR116" s="138">
        <f t="shared" si="322"/>
        <v>0</v>
      </c>
      <c r="AS116" s="138"/>
      <c r="AT116" s="138"/>
      <c r="AU116" s="138">
        <f t="shared" si="497"/>
        <v>78.62</v>
      </c>
      <c r="AV116" s="138">
        <f>ROUND(AE116*25%,2)</f>
        <v>0</v>
      </c>
      <c r="AW116" s="138"/>
      <c r="AX116" s="138"/>
      <c r="AY116" s="108">
        <f t="shared" si="303"/>
        <v>262.24</v>
      </c>
      <c r="AZ116" s="108">
        <f t="shared" si="304"/>
        <v>0</v>
      </c>
      <c r="BA116" s="108">
        <f t="shared" si="305"/>
        <v>262.24</v>
      </c>
      <c r="BB116" s="139">
        <v>262.24</v>
      </c>
      <c r="BD116" s="139">
        <f t="shared" si="306"/>
        <v>0</v>
      </c>
      <c r="BE116" s="139">
        <f t="shared" si="307"/>
        <v>0</v>
      </c>
      <c r="BF116" s="139">
        <f t="shared" si="308"/>
        <v>52.45</v>
      </c>
      <c r="BG116" s="139">
        <f t="shared" si="309"/>
        <v>0</v>
      </c>
      <c r="BH116" s="108">
        <v>26.23</v>
      </c>
      <c r="BI116" s="108">
        <v>0</v>
      </c>
      <c r="BL116" s="108">
        <f t="shared" si="332"/>
        <v>288.47000000000003</v>
      </c>
      <c r="BM116" s="108">
        <f t="shared" si="335"/>
        <v>0</v>
      </c>
      <c r="BN116" s="108">
        <f t="shared" si="336"/>
        <v>288.47000000000003</v>
      </c>
      <c r="BO116" s="108">
        <v>262.24</v>
      </c>
      <c r="BP116" s="127"/>
      <c r="BQ116" s="108">
        <f t="shared" si="337"/>
        <v>26.230000000000018</v>
      </c>
      <c r="BR116" s="108">
        <f t="shared" si="338"/>
        <v>0</v>
      </c>
      <c r="BS116" s="108">
        <f t="shared" si="339"/>
        <v>23.84</v>
      </c>
      <c r="BT116" s="108">
        <f t="shared" si="340"/>
        <v>0</v>
      </c>
      <c r="BU116" s="143">
        <f>25+10</f>
        <v>35</v>
      </c>
      <c r="BV116" s="108">
        <f t="shared" ref="BV116" si="587">ROUND(BT116-BR116,2)</f>
        <v>0</v>
      </c>
      <c r="CA116" s="108">
        <v>323.47000000000003</v>
      </c>
      <c r="CB116" s="108">
        <v>0</v>
      </c>
      <c r="CC116">
        <v>355.82</v>
      </c>
      <c r="CD116">
        <v>0</v>
      </c>
      <c r="CE116" s="189">
        <v>30</v>
      </c>
      <c r="CF116" s="189">
        <v>0</v>
      </c>
      <c r="CG116" s="189">
        <f t="shared" si="341"/>
        <v>80.87</v>
      </c>
      <c r="CH116" s="189">
        <f t="shared" si="342"/>
        <v>0</v>
      </c>
      <c r="CI116" s="150"/>
      <c r="CJ116" s="150"/>
      <c r="CK116" s="150">
        <f>100-20</f>
        <v>80</v>
      </c>
      <c r="CL116" s="150"/>
      <c r="CM116" s="150"/>
      <c r="CN116" s="150"/>
      <c r="CO116" s="150">
        <v>515</v>
      </c>
      <c r="CP116" s="150"/>
      <c r="CQ116" s="150">
        <f t="shared" si="343"/>
        <v>320</v>
      </c>
      <c r="CR116" s="150">
        <f t="shared" si="344"/>
        <v>0</v>
      </c>
      <c r="CS116" s="150">
        <f t="shared" si="345"/>
        <v>320</v>
      </c>
      <c r="CT116" s="150">
        <f t="shared" si="346"/>
        <v>0</v>
      </c>
      <c r="CU116" s="150">
        <v>390.13</v>
      </c>
      <c r="CV116" s="150">
        <v>0</v>
      </c>
      <c r="CW116" s="150">
        <f t="shared" si="349"/>
        <v>97.53</v>
      </c>
      <c r="CX116" s="150">
        <f t="shared" si="575"/>
        <v>0</v>
      </c>
      <c r="CY116" s="150"/>
      <c r="CZ116" s="150"/>
      <c r="DA116" s="150">
        <f t="shared" si="350"/>
        <v>207.53</v>
      </c>
      <c r="DB116" s="150">
        <f t="shared" si="351"/>
        <v>0</v>
      </c>
      <c r="DC116" s="150">
        <v>207.53</v>
      </c>
      <c r="DD116" s="150">
        <v>0</v>
      </c>
      <c r="DE116" s="150">
        <f t="shared" si="352"/>
        <v>0</v>
      </c>
      <c r="DF116" s="150">
        <f t="shared" si="353"/>
        <v>0</v>
      </c>
      <c r="DG116" s="150">
        <f t="shared" si="576"/>
        <v>97.53</v>
      </c>
      <c r="DH116" s="150">
        <f t="shared" si="576"/>
        <v>0</v>
      </c>
      <c r="DI116" s="150">
        <f t="shared" si="354"/>
        <v>97.53</v>
      </c>
      <c r="DJ116" s="150">
        <f>+DH116-DF116</f>
        <v>0</v>
      </c>
      <c r="DK116" s="104">
        <f t="shared" si="577"/>
        <v>85.07</v>
      </c>
      <c r="DL116" s="104">
        <f t="shared" si="578"/>
        <v>0</v>
      </c>
      <c r="DM116" s="104">
        <f t="shared" si="333"/>
        <v>85.07</v>
      </c>
      <c r="DN116" s="104">
        <f t="shared" si="334"/>
        <v>0</v>
      </c>
      <c r="DO116" s="104">
        <v>390.13</v>
      </c>
      <c r="DQ116" s="104">
        <v>585</v>
      </c>
    </row>
    <row r="117" spans="1:129" ht="18.75">
      <c r="A117" s="18"/>
      <c r="B117" s="18" t="s">
        <v>180</v>
      </c>
      <c r="C117" s="19" t="s">
        <v>64</v>
      </c>
      <c r="D117" s="20" t="s">
        <v>178</v>
      </c>
      <c r="E117" s="21" t="s">
        <v>181</v>
      </c>
      <c r="F117" s="22">
        <v>864.06</v>
      </c>
      <c r="G117" s="22">
        <v>94.660000000000011</v>
      </c>
      <c r="H117" s="22">
        <v>870.06</v>
      </c>
      <c r="I117" s="22">
        <v>94.660000000000011</v>
      </c>
      <c r="J117" s="88">
        <f t="shared" ref="J117:AA117" si="588">+J115+J116</f>
        <v>1375</v>
      </c>
      <c r="K117" s="88">
        <f t="shared" si="588"/>
        <v>0</v>
      </c>
      <c r="L117" s="88">
        <f t="shared" si="588"/>
        <v>0</v>
      </c>
      <c r="M117" s="88">
        <f t="shared" si="588"/>
        <v>1375</v>
      </c>
      <c r="N117" s="88">
        <f t="shared" si="588"/>
        <v>0</v>
      </c>
      <c r="O117" s="88">
        <f t="shared" si="588"/>
        <v>0</v>
      </c>
      <c r="P117" s="88">
        <f t="shared" si="588"/>
        <v>0</v>
      </c>
      <c r="Q117" s="88">
        <f t="shared" si="588"/>
        <v>0</v>
      </c>
      <c r="R117" s="88">
        <f t="shared" si="588"/>
        <v>1375</v>
      </c>
      <c r="S117" s="88">
        <f t="shared" si="588"/>
        <v>119</v>
      </c>
      <c r="T117" s="88">
        <f t="shared" si="588"/>
        <v>0</v>
      </c>
      <c r="U117" s="88">
        <f t="shared" si="588"/>
        <v>0</v>
      </c>
      <c r="V117" s="88">
        <f t="shared" si="588"/>
        <v>920.78</v>
      </c>
      <c r="W117" s="88">
        <f t="shared" si="588"/>
        <v>97.76</v>
      </c>
      <c r="X117" s="88">
        <f t="shared" si="588"/>
        <v>454.22</v>
      </c>
      <c r="Y117" s="88">
        <f t="shared" si="588"/>
        <v>21.239999999999995</v>
      </c>
      <c r="Z117" s="88">
        <f t="shared" si="588"/>
        <v>920.78</v>
      </c>
      <c r="AA117" s="88">
        <f t="shared" si="588"/>
        <v>0</v>
      </c>
      <c r="AB117" s="22">
        <f t="shared" si="312"/>
        <v>920.78</v>
      </c>
      <c r="AC117" s="109">
        <f t="shared" si="313"/>
        <v>0</v>
      </c>
      <c r="AD117" s="22">
        <f t="shared" ref="AD117:CQ117" si="589">+AD115+AD116</f>
        <v>920.78</v>
      </c>
      <c r="AE117" s="22">
        <f t="shared" si="589"/>
        <v>97.76</v>
      </c>
      <c r="AF117" s="22">
        <f t="shared" si="589"/>
        <v>107.36</v>
      </c>
      <c r="AG117" s="22">
        <f t="shared" si="589"/>
        <v>231</v>
      </c>
      <c r="AH117" s="22">
        <f t="shared" si="589"/>
        <v>24</v>
      </c>
      <c r="AI117" s="118">
        <f t="shared" si="589"/>
        <v>77</v>
      </c>
      <c r="AJ117" s="22">
        <f t="shared" si="589"/>
        <v>8</v>
      </c>
      <c r="AK117" s="22">
        <f t="shared" si="589"/>
        <v>15</v>
      </c>
      <c r="AL117" s="22">
        <f t="shared" si="589"/>
        <v>0</v>
      </c>
      <c r="AM117" s="22">
        <f t="shared" si="589"/>
        <v>230.20000000000002</v>
      </c>
      <c r="AN117" s="22">
        <f t="shared" si="589"/>
        <v>33.260000000000005</v>
      </c>
      <c r="AO117" s="22">
        <f t="shared" si="589"/>
        <v>0</v>
      </c>
      <c r="AP117" s="22">
        <f t="shared" si="589"/>
        <v>26.74</v>
      </c>
      <c r="AQ117" s="22">
        <f t="shared" si="589"/>
        <v>476.20000000000005</v>
      </c>
      <c r="AR117" s="22">
        <f t="shared" si="589"/>
        <v>84</v>
      </c>
      <c r="AS117" s="22">
        <f t="shared" si="589"/>
        <v>20</v>
      </c>
      <c r="AT117" s="22">
        <f t="shared" si="589"/>
        <v>0</v>
      </c>
      <c r="AU117" s="22">
        <f t="shared" si="589"/>
        <v>230.20000000000002</v>
      </c>
      <c r="AV117" s="22">
        <f t="shared" si="589"/>
        <v>0</v>
      </c>
      <c r="AW117" s="22">
        <f t="shared" si="589"/>
        <v>0</v>
      </c>
      <c r="AX117" s="22">
        <f t="shared" si="589"/>
        <v>0</v>
      </c>
      <c r="AY117" s="22">
        <f t="shared" si="589"/>
        <v>803.40000000000009</v>
      </c>
      <c r="AZ117" s="22">
        <f t="shared" si="589"/>
        <v>92</v>
      </c>
      <c r="BA117" s="22">
        <f t="shared" si="589"/>
        <v>895.40000000000009</v>
      </c>
      <c r="BB117" s="22">
        <f t="shared" si="589"/>
        <v>802.02</v>
      </c>
      <c r="BC117" s="22">
        <f t="shared" si="589"/>
        <v>84.62</v>
      </c>
      <c r="BD117" s="22">
        <f t="shared" si="589"/>
        <v>1.3800000000001091</v>
      </c>
      <c r="BE117" s="22">
        <f t="shared" si="589"/>
        <v>7.3799999999999955</v>
      </c>
      <c r="BF117" s="22">
        <f t="shared" si="589"/>
        <v>160.41</v>
      </c>
      <c r="BG117" s="118">
        <f t="shared" si="589"/>
        <v>16.920000000000002</v>
      </c>
      <c r="BH117" s="118">
        <f t="shared" si="589"/>
        <v>79.52</v>
      </c>
      <c r="BI117" s="118">
        <f t="shared" si="589"/>
        <v>0</v>
      </c>
      <c r="BJ117" s="118">
        <f t="shared" si="589"/>
        <v>0</v>
      </c>
      <c r="BK117" s="118">
        <f t="shared" si="589"/>
        <v>0</v>
      </c>
      <c r="BL117" s="118">
        <f t="shared" si="589"/>
        <v>882.92000000000007</v>
      </c>
      <c r="BM117" s="118">
        <f t="shared" si="589"/>
        <v>92</v>
      </c>
      <c r="BN117" s="118">
        <f t="shared" si="589"/>
        <v>974.92000000000007</v>
      </c>
      <c r="BO117" s="118">
        <f t="shared" si="589"/>
        <v>854.71</v>
      </c>
      <c r="BP117" s="118">
        <f t="shared" si="589"/>
        <v>57.59</v>
      </c>
      <c r="BQ117" s="22">
        <f t="shared" si="589"/>
        <v>28.210000000000036</v>
      </c>
      <c r="BR117" s="22">
        <f t="shared" si="589"/>
        <v>34.409999999999997</v>
      </c>
      <c r="BS117" s="22">
        <f t="shared" si="589"/>
        <v>77.7</v>
      </c>
      <c r="BT117" s="22">
        <f t="shared" si="589"/>
        <v>5.24</v>
      </c>
      <c r="BU117" s="22">
        <f t="shared" si="589"/>
        <v>90</v>
      </c>
      <c r="BV117" s="22">
        <f t="shared" si="589"/>
        <v>0</v>
      </c>
      <c r="BW117" s="22">
        <f t="shared" si="589"/>
        <v>0</v>
      </c>
      <c r="BX117" s="22">
        <f t="shared" si="589"/>
        <v>51.25</v>
      </c>
      <c r="BY117" s="22">
        <f t="shared" si="589"/>
        <v>0</v>
      </c>
      <c r="BZ117" s="22">
        <f t="shared" si="589"/>
        <v>0</v>
      </c>
      <c r="CA117" s="22">
        <f t="shared" si="589"/>
        <v>972.92000000000007</v>
      </c>
      <c r="CB117" s="22">
        <f t="shared" si="589"/>
        <v>143.25</v>
      </c>
      <c r="CC117" s="22">
        <f t="shared" si="589"/>
        <v>1070.22</v>
      </c>
      <c r="CD117" s="118">
        <f t="shared" si="589"/>
        <v>164.74</v>
      </c>
      <c r="CE117" s="190">
        <f t="shared" si="589"/>
        <v>90</v>
      </c>
      <c r="CF117" s="190">
        <f t="shared" si="589"/>
        <v>14</v>
      </c>
      <c r="CG117" s="190">
        <f t="shared" si="589"/>
        <v>243.23000000000002</v>
      </c>
      <c r="CH117" s="190">
        <f t="shared" si="589"/>
        <v>35.81</v>
      </c>
      <c r="CI117" s="190">
        <f t="shared" si="589"/>
        <v>0</v>
      </c>
      <c r="CJ117" s="190">
        <f t="shared" si="589"/>
        <v>0</v>
      </c>
      <c r="CK117" s="190">
        <f t="shared" si="589"/>
        <v>260</v>
      </c>
      <c r="CL117" s="190">
        <f t="shared" si="589"/>
        <v>51</v>
      </c>
      <c r="CM117" s="190">
        <f t="shared" si="589"/>
        <v>0</v>
      </c>
      <c r="CN117" s="190">
        <f t="shared" si="589"/>
        <v>0</v>
      </c>
      <c r="CO117" s="190">
        <f t="shared" si="589"/>
        <v>1265</v>
      </c>
      <c r="CP117" s="190">
        <f t="shared" si="589"/>
        <v>85</v>
      </c>
      <c r="CQ117" s="190">
        <f t="shared" si="589"/>
        <v>1040</v>
      </c>
      <c r="CR117" s="190">
        <f t="shared" ref="CR117:DQ117" si="590">+CR115+CR116</f>
        <v>204</v>
      </c>
      <c r="CS117" s="190">
        <f t="shared" si="590"/>
        <v>1040</v>
      </c>
      <c r="CT117" s="190">
        <f t="shared" si="590"/>
        <v>85</v>
      </c>
      <c r="CU117" s="190">
        <f t="shared" si="590"/>
        <v>1110.1300000000001</v>
      </c>
      <c r="CV117" s="190">
        <f t="shared" si="590"/>
        <v>100</v>
      </c>
      <c r="CW117" s="190">
        <f t="shared" si="590"/>
        <v>277.52999999999997</v>
      </c>
      <c r="CX117" s="190">
        <f t="shared" si="590"/>
        <v>0</v>
      </c>
      <c r="CY117" s="190">
        <f t="shared" si="590"/>
        <v>0</v>
      </c>
      <c r="CZ117" s="190">
        <f t="shared" si="590"/>
        <v>12</v>
      </c>
      <c r="DA117" s="190">
        <f t="shared" si="590"/>
        <v>627.53</v>
      </c>
      <c r="DB117" s="190">
        <f t="shared" si="590"/>
        <v>77</v>
      </c>
      <c r="DC117" s="190">
        <f t="shared" si="590"/>
        <v>607.42999999999995</v>
      </c>
      <c r="DD117" s="190">
        <f t="shared" si="590"/>
        <v>76.599999999999994</v>
      </c>
      <c r="DE117" s="190">
        <f t="shared" si="590"/>
        <v>20.100000000000023</v>
      </c>
      <c r="DF117" s="190">
        <f t="shared" si="590"/>
        <v>0.40000000000000568</v>
      </c>
      <c r="DG117" s="190">
        <f t="shared" si="590"/>
        <v>277.52999999999997</v>
      </c>
      <c r="DH117" s="190">
        <f t="shared" si="590"/>
        <v>17.690000000000001</v>
      </c>
      <c r="DI117" s="190">
        <f t="shared" si="590"/>
        <v>257.42999999999995</v>
      </c>
      <c r="DJ117" s="190">
        <f t="shared" si="590"/>
        <v>0</v>
      </c>
      <c r="DK117" s="104">
        <f t="shared" si="577"/>
        <v>225.17000000000019</v>
      </c>
      <c r="DL117" s="104">
        <f t="shared" si="578"/>
        <v>-6.2600000000000051</v>
      </c>
      <c r="DM117" s="104">
        <f t="shared" si="333"/>
        <v>225.17000000000019</v>
      </c>
      <c r="DN117" s="104">
        <f t="shared" si="334"/>
        <v>23</v>
      </c>
      <c r="DO117" s="22">
        <f t="shared" si="590"/>
        <v>1110.1300000000001</v>
      </c>
      <c r="DP117" s="22">
        <f t="shared" si="590"/>
        <v>70.739999999999995</v>
      </c>
      <c r="DQ117" s="22">
        <f t="shared" si="590"/>
        <v>1345</v>
      </c>
      <c r="DR117" s="22">
        <f t="shared" ref="DR117:DY117" si="591">+DR115+DR116</f>
        <v>240</v>
      </c>
      <c r="DS117" s="22">
        <f t="shared" si="591"/>
        <v>0</v>
      </c>
      <c r="DT117" s="22">
        <f t="shared" si="591"/>
        <v>0</v>
      </c>
      <c r="DU117" s="22">
        <f t="shared" si="591"/>
        <v>0</v>
      </c>
      <c r="DV117" s="22">
        <f t="shared" si="591"/>
        <v>0</v>
      </c>
      <c r="DW117" s="22">
        <f t="shared" si="591"/>
        <v>0</v>
      </c>
      <c r="DX117" s="22">
        <f t="shared" si="591"/>
        <v>0</v>
      </c>
      <c r="DY117" s="22">
        <f t="shared" si="591"/>
        <v>0</v>
      </c>
    </row>
    <row r="118" spans="1:129" ht="18.75">
      <c r="A118" s="18">
        <v>21</v>
      </c>
      <c r="B118" s="18" t="s">
        <v>182</v>
      </c>
      <c r="C118" s="19" t="s">
        <v>13</v>
      </c>
      <c r="D118" s="20" t="s">
        <v>183</v>
      </c>
      <c r="E118" s="21" t="s">
        <v>184</v>
      </c>
      <c r="F118" s="81">
        <v>779.47</v>
      </c>
      <c r="G118" s="81">
        <v>145.17000000000002</v>
      </c>
      <c r="H118" s="81">
        <v>779.47</v>
      </c>
      <c r="I118" s="22">
        <v>270</v>
      </c>
      <c r="J118" s="88">
        <v>850</v>
      </c>
      <c r="K118" s="88">
        <v>70</v>
      </c>
      <c r="L118" s="88">
        <v>1</v>
      </c>
      <c r="M118" s="88">
        <f>+J118+K118+L118</f>
        <v>921</v>
      </c>
      <c r="N118" s="88">
        <v>0</v>
      </c>
      <c r="O118" s="88">
        <v>0</v>
      </c>
      <c r="P118" s="88">
        <v>0</v>
      </c>
      <c r="Q118" s="88">
        <f>+N118+O118+P118</f>
        <v>0</v>
      </c>
      <c r="R118" s="88">
        <f>+Q118+M118</f>
        <v>921</v>
      </c>
      <c r="S118" s="88">
        <v>115</v>
      </c>
      <c r="V118" s="22">
        <f t="shared" ref="V118:V120" si="592">ROUND(H118*1.0583,2)</f>
        <v>824.91</v>
      </c>
      <c r="W118" s="22">
        <f t="shared" ref="W118:W120" si="593">ROUND(I118*1.0327,2)</f>
        <v>278.83</v>
      </c>
      <c r="X118" s="22">
        <f t="shared" si="310"/>
        <v>96.090000000000032</v>
      </c>
      <c r="Y118" s="22">
        <f t="shared" si="311"/>
        <v>-163.82999999999998</v>
      </c>
      <c r="Z118" s="22">
        <v>824.91</v>
      </c>
      <c r="AA118" s="22"/>
      <c r="AB118" s="22">
        <f t="shared" si="312"/>
        <v>824.91</v>
      </c>
      <c r="AC118" s="109">
        <f t="shared" si="313"/>
        <v>0</v>
      </c>
      <c r="AD118" s="22">
        <f t="shared" ref="AD118:AD121" si="594">IF(X118&gt;0,V118,R118)</f>
        <v>824.91</v>
      </c>
      <c r="AE118" s="22">
        <f t="shared" ref="AE118:AE121" si="595">IF(Y118&gt;0,W118,S118)</f>
        <v>115</v>
      </c>
      <c r="AF118" s="22">
        <f t="shared" si="314"/>
        <v>103.75</v>
      </c>
      <c r="AG118" s="108">
        <f t="shared" si="315"/>
        <v>206</v>
      </c>
      <c r="AH118" s="108">
        <f t="shared" si="316"/>
        <v>29</v>
      </c>
      <c r="AI118" s="127">
        <f t="shared" si="317"/>
        <v>69</v>
      </c>
      <c r="AJ118" s="108">
        <f t="shared" si="318"/>
        <v>10</v>
      </c>
      <c r="AM118" s="108">
        <f t="shared" si="319"/>
        <v>206.23</v>
      </c>
      <c r="AN118" s="108">
        <f t="shared" si="320"/>
        <v>28</v>
      </c>
      <c r="AO118" s="116"/>
      <c r="AP118" s="116"/>
      <c r="AQ118" s="116">
        <f t="shared" si="321"/>
        <v>412.23</v>
      </c>
      <c r="AR118" s="138">
        <f t="shared" si="322"/>
        <v>57</v>
      </c>
      <c r="AS118" s="138"/>
      <c r="AT118" s="138"/>
      <c r="AU118" s="138">
        <f t="shared" si="497"/>
        <v>206.23</v>
      </c>
      <c r="AV118" s="138">
        <v>3</v>
      </c>
      <c r="AW118" s="138"/>
      <c r="AX118" s="138"/>
      <c r="AY118" s="108">
        <f t="shared" si="303"/>
        <v>687.46</v>
      </c>
      <c r="AZ118" s="108">
        <f t="shared" si="304"/>
        <v>70</v>
      </c>
      <c r="BA118" s="108">
        <f t="shared" si="305"/>
        <v>757.46</v>
      </c>
      <c r="BB118" s="139">
        <v>731.91</v>
      </c>
      <c r="BC118" s="139">
        <v>58.28</v>
      </c>
      <c r="BD118" s="139">
        <f t="shared" si="306"/>
        <v>-44.449999999999932</v>
      </c>
      <c r="BE118" s="139">
        <f t="shared" si="307"/>
        <v>11.719999999999999</v>
      </c>
      <c r="BF118" s="139">
        <f t="shared" si="308"/>
        <v>146.38</v>
      </c>
      <c r="BG118" s="139">
        <f t="shared" si="309"/>
        <v>11.66</v>
      </c>
      <c r="BH118" s="108">
        <v>95.42</v>
      </c>
      <c r="BI118" s="108">
        <v>0</v>
      </c>
      <c r="BL118" s="108">
        <f t="shared" si="332"/>
        <v>782.88</v>
      </c>
      <c r="BM118" s="108">
        <f t="shared" si="335"/>
        <v>70</v>
      </c>
      <c r="BN118" s="108">
        <f t="shared" si="336"/>
        <v>852.88</v>
      </c>
      <c r="BO118" s="108">
        <v>813.96</v>
      </c>
      <c r="BP118" s="127">
        <v>65.5</v>
      </c>
      <c r="BQ118" s="108">
        <f t="shared" si="337"/>
        <v>-31.080000000000041</v>
      </c>
      <c r="BR118" s="108">
        <f t="shared" si="338"/>
        <v>4.5</v>
      </c>
      <c r="BS118" s="108">
        <f t="shared" si="339"/>
        <v>74</v>
      </c>
      <c r="BT118" s="108">
        <f t="shared" si="340"/>
        <v>5.95</v>
      </c>
      <c r="BU118" s="108">
        <f t="shared" ref="BU118:BU120" si="596">ROUND(BS118-BQ118,2)</f>
        <v>105.08</v>
      </c>
      <c r="BV118" s="108">
        <v>0</v>
      </c>
      <c r="CA118" s="108">
        <v>887.96</v>
      </c>
      <c r="CB118" s="108">
        <v>70</v>
      </c>
      <c r="CC118">
        <v>976.76</v>
      </c>
      <c r="CD118">
        <v>80.5</v>
      </c>
      <c r="CE118" s="189">
        <v>81</v>
      </c>
      <c r="CF118" s="189">
        <v>7</v>
      </c>
      <c r="CG118" s="189">
        <f t="shared" si="341"/>
        <v>221.99</v>
      </c>
      <c r="CH118" s="189">
        <f t="shared" si="342"/>
        <v>17.5</v>
      </c>
      <c r="CI118" s="150"/>
      <c r="CJ118" s="150"/>
      <c r="CK118" s="150">
        <f>262-12</f>
        <v>250</v>
      </c>
      <c r="CL118" s="150">
        <f>130-30</f>
        <v>100</v>
      </c>
      <c r="CM118" s="150">
        <v>14</v>
      </c>
      <c r="CN118" s="150">
        <v>22</v>
      </c>
      <c r="CO118" s="150">
        <v>930</v>
      </c>
      <c r="CP118" s="150">
        <v>150</v>
      </c>
      <c r="CQ118" s="150">
        <f t="shared" si="343"/>
        <v>1000</v>
      </c>
      <c r="CR118" s="150">
        <f t="shared" si="344"/>
        <v>400</v>
      </c>
      <c r="CS118" s="150">
        <f t="shared" si="345"/>
        <v>930</v>
      </c>
      <c r="CT118" s="150">
        <f t="shared" si="346"/>
        <v>150</v>
      </c>
      <c r="CU118" s="150">
        <f t="shared" ref="CU118" si="597">IF(CQ118&lt;CS118,CQ118,CS118)</f>
        <v>930</v>
      </c>
      <c r="CV118" s="150">
        <f t="shared" ref="CV118" si="598">IF(CR118&lt;CT118,CR118,CT118)</f>
        <v>150</v>
      </c>
      <c r="CW118" s="150">
        <f t="shared" si="349"/>
        <v>232.5</v>
      </c>
      <c r="CX118" s="150">
        <f>ROUND(CV118*25%,2)-16.5</f>
        <v>21</v>
      </c>
      <c r="CY118" s="150"/>
      <c r="CZ118" s="150"/>
      <c r="DA118" s="150">
        <f t="shared" si="350"/>
        <v>577.5</v>
      </c>
      <c r="DB118" s="150">
        <f t="shared" si="351"/>
        <v>150</v>
      </c>
      <c r="DC118" s="150">
        <v>566.99</v>
      </c>
      <c r="DD118" s="150">
        <v>130.30000000000001</v>
      </c>
      <c r="DE118" s="150">
        <f t="shared" si="352"/>
        <v>10.509999999999991</v>
      </c>
      <c r="DF118" s="150">
        <f t="shared" si="353"/>
        <v>19.699999999999989</v>
      </c>
      <c r="DG118" s="150">
        <f t="shared" ref="DG118:DH121" si="599">ROUND(0.25*(MIN(CU118,DO118)),2)</f>
        <v>232.5</v>
      </c>
      <c r="DH118" s="150">
        <f t="shared" si="599"/>
        <v>37.5</v>
      </c>
      <c r="DI118" s="150">
        <f t="shared" si="354"/>
        <v>221.99</v>
      </c>
      <c r="DJ118" s="150">
        <f>+DH118-DF118-17.8</f>
        <v>0</v>
      </c>
      <c r="DK118" s="104">
        <f t="shared" si="577"/>
        <v>170.51</v>
      </c>
      <c r="DL118" s="104">
        <f t="shared" si="578"/>
        <v>3</v>
      </c>
      <c r="DM118" s="104">
        <f t="shared" si="333"/>
        <v>130.51</v>
      </c>
      <c r="DN118" s="104">
        <f t="shared" si="334"/>
        <v>0</v>
      </c>
      <c r="DO118" s="104">
        <v>970</v>
      </c>
      <c r="DP118" s="104">
        <v>153</v>
      </c>
      <c r="DQ118" s="104">
        <v>1020</v>
      </c>
      <c r="DR118" s="104">
        <v>145</v>
      </c>
    </row>
    <row r="119" spans="1:129" ht="18.75">
      <c r="A119" s="18">
        <v>22</v>
      </c>
      <c r="B119" s="18" t="s">
        <v>185</v>
      </c>
      <c r="C119" s="19" t="s">
        <v>13</v>
      </c>
      <c r="D119" s="7" t="s">
        <v>186</v>
      </c>
      <c r="E119" s="21" t="s">
        <v>187</v>
      </c>
      <c r="F119" s="81">
        <v>614.54000000000008</v>
      </c>
      <c r="G119" s="81">
        <v>104.55000000000001</v>
      </c>
      <c r="H119" s="81">
        <v>614.54000000000008</v>
      </c>
      <c r="I119" s="22">
        <v>104.55000000000001</v>
      </c>
      <c r="J119" s="88">
        <v>625</v>
      </c>
      <c r="K119" s="88">
        <v>0</v>
      </c>
      <c r="L119" s="88">
        <v>0</v>
      </c>
      <c r="M119" s="88">
        <f>+J119+K119+L119</f>
        <v>625</v>
      </c>
      <c r="N119" s="88">
        <v>0</v>
      </c>
      <c r="O119" s="88">
        <v>0</v>
      </c>
      <c r="P119" s="88">
        <v>0</v>
      </c>
      <c r="Q119" s="88">
        <f>+N119+O119+P119</f>
        <v>0</v>
      </c>
      <c r="R119" s="88">
        <f>+Q119+M119</f>
        <v>625</v>
      </c>
      <c r="S119" s="88">
        <v>15</v>
      </c>
      <c r="V119" s="22">
        <f t="shared" si="592"/>
        <v>650.37</v>
      </c>
      <c r="W119" s="22">
        <f t="shared" si="593"/>
        <v>107.97</v>
      </c>
      <c r="X119" s="22">
        <f t="shared" si="310"/>
        <v>-25.370000000000005</v>
      </c>
      <c r="Y119" s="22">
        <f t="shared" si="311"/>
        <v>-92.97</v>
      </c>
      <c r="Z119" s="22">
        <v>625</v>
      </c>
      <c r="AA119" s="22"/>
      <c r="AB119" s="22">
        <f t="shared" si="312"/>
        <v>625</v>
      </c>
      <c r="AC119" s="109">
        <f t="shared" si="313"/>
        <v>0</v>
      </c>
      <c r="AD119" s="22">
        <f t="shared" si="594"/>
        <v>625</v>
      </c>
      <c r="AE119" s="22">
        <f>IF(Y119&gt;0,W119,S119)+10</f>
        <v>25</v>
      </c>
      <c r="AF119" s="22">
        <f t="shared" si="314"/>
        <v>13.53</v>
      </c>
      <c r="AG119" s="108">
        <f t="shared" si="315"/>
        <v>156</v>
      </c>
      <c r="AH119" s="108">
        <f>ROUND(AE119/4,0)-2</f>
        <v>4</v>
      </c>
      <c r="AI119" s="127">
        <f t="shared" si="317"/>
        <v>52</v>
      </c>
      <c r="AJ119" s="108">
        <f>ROUND(AE119/12,0)-1</f>
        <v>1</v>
      </c>
      <c r="AL119" s="143">
        <v>10</v>
      </c>
      <c r="AM119" s="108">
        <f t="shared" si="319"/>
        <v>156.25</v>
      </c>
      <c r="AN119" s="108">
        <f>ROUND(AE119*24.35%,2)-3.65-2.44</f>
        <v>0</v>
      </c>
      <c r="AO119" s="116"/>
      <c r="AP119" s="116"/>
      <c r="AQ119" s="116">
        <f t="shared" si="321"/>
        <v>312.25</v>
      </c>
      <c r="AR119" s="138">
        <f t="shared" si="322"/>
        <v>14</v>
      </c>
      <c r="AS119" s="138">
        <v>24.5</v>
      </c>
      <c r="AT119" s="138">
        <v>10</v>
      </c>
      <c r="AU119" s="138">
        <f t="shared" si="497"/>
        <v>156.25</v>
      </c>
      <c r="AV119" s="138">
        <v>0</v>
      </c>
      <c r="AW119" s="142">
        <v>33.33</v>
      </c>
      <c r="AX119" s="142">
        <v>20</v>
      </c>
      <c r="AY119" s="108">
        <f t="shared" si="303"/>
        <v>578.33000000000004</v>
      </c>
      <c r="AZ119" s="108">
        <f t="shared" si="304"/>
        <v>45</v>
      </c>
      <c r="BA119" s="108">
        <f t="shared" si="305"/>
        <v>623.33000000000004</v>
      </c>
      <c r="BB119" s="139">
        <v>564.29999999999995</v>
      </c>
      <c r="BC119" s="139">
        <v>23.96</v>
      </c>
      <c r="BD119" s="139">
        <f t="shared" si="306"/>
        <v>14.030000000000086</v>
      </c>
      <c r="BE119" s="139">
        <f t="shared" si="307"/>
        <v>21.04</v>
      </c>
      <c r="BF119" s="139">
        <f t="shared" si="308"/>
        <v>112.86</v>
      </c>
      <c r="BG119" s="139">
        <f t="shared" si="309"/>
        <v>4.79</v>
      </c>
      <c r="BH119" s="108">
        <v>45.84</v>
      </c>
      <c r="BI119" s="108">
        <v>0</v>
      </c>
      <c r="BL119" s="108">
        <f t="shared" si="332"/>
        <v>624.17000000000007</v>
      </c>
      <c r="BM119" s="108">
        <f t="shared" si="335"/>
        <v>45</v>
      </c>
      <c r="BN119" s="108">
        <f t="shared" si="336"/>
        <v>669.17000000000007</v>
      </c>
      <c r="BO119" s="108">
        <v>623.27</v>
      </c>
      <c r="BP119" s="127">
        <v>24.19</v>
      </c>
      <c r="BQ119" s="108">
        <f t="shared" si="337"/>
        <v>0.90000000000009095</v>
      </c>
      <c r="BR119" s="108">
        <f t="shared" si="338"/>
        <v>20.81</v>
      </c>
      <c r="BS119" s="108">
        <f t="shared" si="339"/>
        <v>56.66</v>
      </c>
      <c r="BT119" s="108">
        <f t="shared" si="340"/>
        <v>2.2000000000000002</v>
      </c>
      <c r="BU119" s="108">
        <f t="shared" si="596"/>
        <v>55.76</v>
      </c>
      <c r="BV119" s="108">
        <v>0</v>
      </c>
      <c r="BX119" s="108">
        <v>0.6</v>
      </c>
      <c r="CA119" s="108">
        <v>679.93000000000006</v>
      </c>
      <c r="CB119" s="108">
        <v>45.6</v>
      </c>
      <c r="CC119">
        <v>747.92</v>
      </c>
      <c r="CD119">
        <v>52.44</v>
      </c>
      <c r="CE119" s="189">
        <v>62</v>
      </c>
      <c r="CF119" s="189">
        <v>4</v>
      </c>
      <c r="CG119" s="189">
        <f t="shared" si="341"/>
        <v>169.98</v>
      </c>
      <c r="CH119" s="189">
        <f t="shared" si="342"/>
        <v>11.4</v>
      </c>
      <c r="CI119" s="150"/>
      <c r="CJ119" s="150"/>
      <c r="CK119" s="150">
        <v>180</v>
      </c>
      <c r="CL119" s="150">
        <v>1.5</v>
      </c>
      <c r="CM119" s="150"/>
      <c r="CN119" s="150"/>
      <c r="CO119" s="150">
        <v>800</v>
      </c>
      <c r="CP119" s="150">
        <v>65</v>
      </c>
      <c r="CQ119" s="150">
        <f t="shared" si="343"/>
        <v>720</v>
      </c>
      <c r="CR119" s="150">
        <f t="shared" si="344"/>
        <v>6</v>
      </c>
      <c r="CS119" s="150">
        <f t="shared" si="345"/>
        <v>720</v>
      </c>
      <c r="CT119" s="150">
        <f t="shared" si="346"/>
        <v>6</v>
      </c>
      <c r="CU119" s="150">
        <v>750</v>
      </c>
      <c r="CV119" s="150">
        <v>6</v>
      </c>
      <c r="CW119" s="150">
        <f t="shared" si="349"/>
        <v>187.5</v>
      </c>
      <c r="CX119" s="150">
        <f>ROUND(CV119*25%,2)-1.5</f>
        <v>0</v>
      </c>
      <c r="CY119" s="150"/>
      <c r="CZ119" s="150"/>
      <c r="DA119" s="150">
        <f t="shared" si="350"/>
        <v>429.5</v>
      </c>
      <c r="DB119" s="150">
        <f t="shared" si="351"/>
        <v>5.5</v>
      </c>
      <c r="DC119" s="150">
        <v>427.61</v>
      </c>
      <c r="DD119" s="150">
        <v>2.08</v>
      </c>
      <c r="DE119" s="150">
        <f t="shared" si="352"/>
        <v>1.8899999999999864</v>
      </c>
      <c r="DF119" s="150">
        <f t="shared" si="353"/>
        <v>3.42</v>
      </c>
      <c r="DG119" s="150">
        <f t="shared" si="599"/>
        <v>187.5</v>
      </c>
      <c r="DH119" s="150">
        <f t="shared" si="599"/>
        <v>1.5</v>
      </c>
      <c r="DI119" s="150">
        <f t="shared" si="354"/>
        <v>185.61</v>
      </c>
      <c r="DJ119" s="150">
        <f>+DH119-DF119+1.92</f>
        <v>0</v>
      </c>
      <c r="DK119" s="104">
        <f t="shared" si="577"/>
        <v>185.14</v>
      </c>
      <c r="DL119" s="104">
        <f t="shared" si="578"/>
        <v>16.5</v>
      </c>
      <c r="DM119" s="104">
        <f t="shared" si="333"/>
        <v>134.88999999999999</v>
      </c>
      <c r="DN119" s="104">
        <f t="shared" si="334"/>
        <v>0.5</v>
      </c>
      <c r="DO119" s="104">
        <v>800.25</v>
      </c>
      <c r="DP119" s="104">
        <v>22</v>
      </c>
      <c r="DQ119" s="104">
        <v>810</v>
      </c>
    </row>
    <row r="120" spans="1:129" ht="18.75">
      <c r="A120" s="13">
        <v>23</v>
      </c>
      <c r="B120" s="13"/>
      <c r="C120" s="14"/>
      <c r="D120" s="15" t="s">
        <v>188</v>
      </c>
      <c r="E120" s="16"/>
      <c r="F120" s="81">
        <v>529.59</v>
      </c>
      <c r="G120" s="81">
        <v>91.56</v>
      </c>
      <c r="H120" s="81">
        <v>519.95000000000005</v>
      </c>
      <c r="I120" s="17">
        <v>83.26</v>
      </c>
      <c r="J120" s="86">
        <v>650</v>
      </c>
      <c r="K120" s="87">
        <v>0</v>
      </c>
      <c r="L120" s="87">
        <v>0</v>
      </c>
      <c r="M120" s="87">
        <f t="shared" ref="M120:M124" si="600">J120+K120+L120</f>
        <v>650</v>
      </c>
      <c r="N120" s="87">
        <v>0</v>
      </c>
      <c r="O120" s="87">
        <v>0</v>
      </c>
      <c r="P120" s="87">
        <v>0</v>
      </c>
      <c r="Q120" s="87">
        <f t="shared" ref="Q120:Q124" si="601">N120+O120+P120</f>
        <v>0</v>
      </c>
      <c r="R120" s="87">
        <f t="shared" ref="R120:R124" si="602">Q120+M120</f>
        <v>650</v>
      </c>
      <c r="S120" s="87">
        <v>90</v>
      </c>
      <c r="V120" s="17">
        <f t="shared" si="592"/>
        <v>550.26</v>
      </c>
      <c r="W120" s="17">
        <f t="shared" si="593"/>
        <v>85.98</v>
      </c>
      <c r="X120" s="108">
        <f t="shared" si="310"/>
        <v>99.740000000000009</v>
      </c>
      <c r="Y120" s="108">
        <f t="shared" si="311"/>
        <v>4.019999999999996</v>
      </c>
      <c r="Z120" s="108">
        <v>550.26</v>
      </c>
      <c r="AA120" s="108"/>
      <c r="AB120" s="108">
        <f t="shared" si="312"/>
        <v>550.26</v>
      </c>
      <c r="AC120" s="109">
        <f t="shared" si="313"/>
        <v>0</v>
      </c>
      <c r="AD120" s="108">
        <f t="shared" si="594"/>
        <v>550.26</v>
      </c>
      <c r="AE120" s="108">
        <f t="shared" si="595"/>
        <v>85.98</v>
      </c>
      <c r="AF120" s="108">
        <f t="shared" si="314"/>
        <v>81.2</v>
      </c>
      <c r="AG120" s="108">
        <f t="shared" si="315"/>
        <v>138</v>
      </c>
      <c r="AH120" s="108">
        <f t="shared" si="316"/>
        <v>21</v>
      </c>
      <c r="AI120" s="127">
        <f t="shared" si="317"/>
        <v>46</v>
      </c>
      <c r="AJ120" s="108">
        <f t="shared" si="318"/>
        <v>7</v>
      </c>
      <c r="AM120" s="108">
        <f t="shared" si="319"/>
        <v>137.57</v>
      </c>
      <c r="AN120" s="108">
        <f t="shared" si="320"/>
        <v>20.94</v>
      </c>
      <c r="AO120" s="116"/>
      <c r="AP120" s="116"/>
      <c r="AQ120" s="116">
        <f t="shared" si="321"/>
        <v>275.57</v>
      </c>
      <c r="AR120" s="138">
        <f t="shared" si="322"/>
        <v>41.94</v>
      </c>
      <c r="AS120" s="138"/>
      <c r="AT120" s="138"/>
      <c r="AU120" s="138">
        <f t="shared" si="497"/>
        <v>137.57</v>
      </c>
      <c r="AV120" s="138">
        <f>ROUND(AE120*25%,2)</f>
        <v>21.5</v>
      </c>
      <c r="AW120" s="138"/>
      <c r="AX120" s="142">
        <f>14.56+35</f>
        <v>49.56</v>
      </c>
      <c r="AY120" s="108">
        <f t="shared" si="303"/>
        <v>459.14</v>
      </c>
      <c r="AZ120" s="108">
        <f t="shared" si="304"/>
        <v>120</v>
      </c>
      <c r="BA120" s="108">
        <f t="shared" si="305"/>
        <v>579.14</v>
      </c>
      <c r="BB120" s="139">
        <v>427.87</v>
      </c>
      <c r="BC120" s="139">
        <v>117.14</v>
      </c>
      <c r="BD120" s="139">
        <f t="shared" si="306"/>
        <v>31.269999999999982</v>
      </c>
      <c r="BE120" s="139">
        <f t="shared" si="307"/>
        <v>2.8599999999999994</v>
      </c>
      <c r="BF120" s="139">
        <f t="shared" si="308"/>
        <v>85.57</v>
      </c>
      <c r="BG120" s="139">
        <f t="shared" si="309"/>
        <v>23.43</v>
      </c>
      <c r="BH120" s="108">
        <v>27.15</v>
      </c>
      <c r="BI120" s="108">
        <v>0</v>
      </c>
      <c r="BL120" s="108">
        <f t="shared" si="332"/>
        <v>486.28999999999996</v>
      </c>
      <c r="BM120" s="108">
        <f t="shared" si="335"/>
        <v>120</v>
      </c>
      <c r="BN120" s="108">
        <f t="shared" si="336"/>
        <v>606.29</v>
      </c>
      <c r="BO120" s="108">
        <v>469.85</v>
      </c>
      <c r="BP120" s="127">
        <v>117.14</v>
      </c>
      <c r="BQ120" s="108">
        <f t="shared" si="337"/>
        <v>16.439999999999941</v>
      </c>
      <c r="BR120" s="108">
        <f t="shared" si="338"/>
        <v>2.8599999999999994</v>
      </c>
      <c r="BS120" s="108">
        <f t="shared" si="339"/>
        <v>42.71</v>
      </c>
      <c r="BT120" s="108">
        <f t="shared" si="340"/>
        <v>10.65</v>
      </c>
      <c r="BU120" s="108">
        <f t="shared" si="596"/>
        <v>26.27</v>
      </c>
      <c r="BV120" s="108">
        <v>0</v>
      </c>
      <c r="CA120" s="108">
        <v>512.55999999999995</v>
      </c>
      <c r="CB120" s="108">
        <v>120</v>
      </c>
      <c r="CC120">
        <v>563.82000000000005</v>
      </c>
      <c r="CD120">
        <v>138</v>
      </c>
      <c r="CE120" s="189">
        <v>47</v>
      </c>
      <c r="CF120" s="189">
        <v>0</v>
      </c>
      <c r="CG120" s="189">
        <f t="shared" si="341"/>
        <v>128.13999999999999</v>
      </c>
      <c r="CH120" s="189">
        <f t="shared" si="342"/>
        <v>30</v>
      </c>
      <c r="CI120" s="150"/>
      <c r="CJ120" s="150"/>
      <c r="CK120" s="150">
        <v>160</v>
      </c>
      <c r="CL120" s="150">
        <v>0</v>
      </c>
      <c r="CM120" s="150"/>
      <c r="CN120" s="150"/>
      <c r="CO120" s="150">
        <v>660</v>
      </c>
      <c r="CP120" s="150">
        <v>0</v>
      </c>
      <c r="CQ120" s="150">
        <f t="shared" si="343"/>
        <v>640</v>
      </c>
      <c r="CR120" s="150">
        <f t="shared" si="344"/>
        <v>0</v>
      </c>
      <c r="CS120" s="150">
        <f t="shared" si="345"/>
        <v>640</v>
      </c>
      <c r="CT120" s="150">
        <f t="shared" si="346"/>
        <v>0</v>
      </c>
      <c r="CU120" s="150">
        <f t="shared" ref="CU120:CU121" si="603">IF(CQ120&lt;CS120,CQ120,CS120)</f>
        <v>640</v>
      </c>
      <c r="CV120" s="150">
        <f t="shared" ref="CV120:CV121" si="604">IF(CR120&lt;CT120,CR120,CT120)</f>
        <v>0</v>
      </c>
      <c r="CW120" s="150">
        <f t="shared" si="349"/>
        <v>160</v>
      </c>
      <c r="CX120" s="150">
        <f t="shared" si="575"/>
        <v>0</v>
      </c>
      <c r="CY120" s="150"/>
      <c r="CZ120" s="150"/>
      <c r="DA120" s="150">
        <f t="shared" si="350"/>
        <v>367</v>
      </c>
      <c r="DB120" s="150">
        <f t="shared" si="351"/>
        <v>0</v>
      </c>
      <c r="DC120" s="150">
        <v>301.47000000000003</v>
      </c>
      <c r="DD120" s="150">
        <v>0</v>
      </c>
      <c r="DE120" s="150">
        <f t="shared" si="352"/>
        <v>65.529999999999973</v>
      </c>
      <c r="DF120" s="150">
        <f t="shared" si="353"/>
        <v>0</v>
      </c>
      <c r="DG120" s="150">
        <f t="shared" si="599"/>
        <v>142.5</v>
      </c>
      <c r="DH120" s="150">
        <f t="shared" si="599"/>
        <v>0</v>
      </c>
      <c r="DI120" s="150">
        <f t="shared" si="354"/>
        <v>76.970000000000027</v>
      </c>
      <c r="DJ120" s="150">
        <f>+DH120-DF120</f>
        <v>0</v>
      </c>
      <c r="DK120" s="104">
        <f t="shared" si="577"/>
        <v>126.02999999999997</v>
      </c>
      <c r="DL120" s="104">
        <f t="shared" si="578"/>
        <v>0</v>
      </c>
      <c r="DM120" s="104">
        <f t="shared" si="333"/>
        <v>196.02999999999997</v>
      </c>
      <c r="DN120" s="104">
        <f t="shared" si="334"/>
        <v>0</v>
      </c>
      <c r="DO120" s="179">
        <v>570</v>
      </c>
      <c r="DP120" s="104">
        <v>0</v>
      </c>
      <c r="DQ120" s="104">
        <v>650</v>
      </c>
      <c r="DR120" s="104">
        <v>30</v>
      </c>
    </row>
    <row r="121" spans="1:129" ht="18.75">
      <c r="A121" s="13">
        <v>24</v>
      </c>
      <c r="B121" s="13"/>
      <c r="C121" s="14"/>
      <c r="D121" s="15" t="s">
        <v>189</v>
      </c>
      <c r="E121" s="16"/>
      <c r="F121" s="81">
        <v>762.1600000000002</v>
      </c>
      <c r="G121" s="81">
        <v>0</v>
      </c>
      <c r="H121" s="81">
        <v>850.00000000000023</v>
      </c>
      <c r="I121" s="17">
        <v>0</v>
      </c>
      <c r="J121" s="86">
        <v>950</v>
      </c>
      <c r="K121" s="87">
        <v>0</v>
      </c>
      <c r="L121" s="87">
        <v>0</v>
      </c>
      <c r="M121" s="87">
        <f t="shared" si="600"/>
        <v>950</v>
      </c>
      <c r="N121" s="87">
        <v>0</v>
      </c>
      <c r="O121" s="87">
        <v>0</v>
      </c>
      <c r="P121" s="87">
        <v>0</v>
      </c>
      <c r="Q121" s="87">
        <f t="shared" si="601"/>
        <v>0</v>
      </c>
      <c r="R121" s="87">
        <f t="shared" si="602"/>
        <v>950</v>
      </c>
      <c r="S121" s="87">
        <v>0</v>
      </c>
      <c r="V121" s="17">
        <f t="shared" ref="V121" si="605">ROUND(H121*1.0583,2)</f>
        <v>899.56</v>
      </c>
      <c r="W121" s="17">
        <f t="shared" ref="W121" si="606">ROUND(I121*1.0327,2)</f>
        <v>0</v>
      </c>
      <c r="X121" s="108">
        <f t="shared" si="310"/>
        <v>50.440000000000055</v>
      </c>
      <c r="Y121" s="108">
        <f t="shared" si="311"/>
        <v>0</v>
      </c>
      <c r="Z121" s="108">
        <v>899.56</v>
      </c>
      <c r="AA121" s="108"/>
      <c r="AB121" s="108">
        <f t="shared" si="312"/>
        <v>899.56</v>
      </c>
      <c r="AC121" s="109">
        <f t="shared" si="313"/>
        <v>0</v>
      </c>
      <c r="AD121" s="108">
        <f t="shared" si="594"/>
        <v>899.56</v>
      </c>
      <c r="AE121" s="108">
        <f t="shared" si="595"/>
        <v>0</v>
      </c>
      <c r="AF121" s="108">
        <f t="shared" si="314"/>
        <v>0</v>
      </c>
      <c r="AG121" s="108">
        <f t="shared" si="315"/>
        <v>225</v>
      </c>
      <c r="AH121" s="108">
        <f t="shared" si="316"/>
        <v>0</v>
      </c>
      <c r="AI121" s="127">
        <f t="shared" si="317"/>
        <v>75</v>
      </c>
      <c r="AJ121" s="108">
        <f t="shared" si="318"/>
        <v>0</v>
      </c>
      <c r="AM121" s="108">
        <f t="shared" si="319"/>
        <v>224.89</v>
      </c>
      <c r="AN121" s="108">
        <f t="shared" si="320"/>
        <v>0</v>
      </c>
      <c r="AO121" s="116"/>
      <c r="AP121" s="116"/>
      <c r="AQ121" s="116">
        <f t="shared" si="321"/>
        <v>449.89</v>
      </c>
      <c r="AR121" s="138">
        <f t="shared" si="322"/>
        <v>0</v>
      </c>
      <c r="AS121" s="138"/>
      <c r="AT121" s="138"/>
      <c r="AU121" s="138">
        <v>126.11</v>
      </c>
      <c r="AV121" s="138">
        <f t="shared" ref="AV121:AV124" si="607">ROUND(AE121*25%,2)</f>
        <v>0</v>
      </c>
      <c r="AW121" s="138"/>
      <c r="AX121" s="138"/>
      <c r="AY121" s="108">
        <f t="shared" si="303"/>
        <v>651</v>
      </c>
      <c r="AZ121" s="108">
        <f t="shared" si="304"/>
        <v>0</v>
      </c>
      <c r="BA121" s="108">
        <f t="shared" si="305"/>
        <v>651</v>
      </c>
      <c r="BB121" s="139">
        <v>635</v>
      </c>
      <c r="BD121" s="139">
        <f t="shared" si="306"/>
        <v>16</v>
      </c>
      <c r="BE121" s="139">
        <f t="shared" si="307"/>
        <v>0</v>
      </c>
      <c r="BF121" s="139">
        <f t="shared" si="308"/>
        <v>127</v>
      </c>
      <c r="BG121" s="139">
        <f t="shared" si="309"/>
        <v>0</v>
      </c>
      <c r="BH121" s="108">
        <v>0</v>
      </c>
      <c r="BI121" s="108">
        <v>0</v>
      </c>
      <c r="BL121" s="108">
        <f t="shared" si="332"/>
        <v>651</v>
      </c>
      <c r="BM121" s="108">
        <f t="shared" si="335"/>
        <v>0</v>
      </c>
      <c r="BN121" s="108">
        <f t="shared" si="336"/>
        <v>651</v>
      </c>
      <c r="BO121" s="108">
        <v>635</v>
      </c>
      <c r="BP121" s="127"/>
      <c r="BQ121" s="108">
        <f t="shared" si="337"/>
        <v>16</v>
      </c>
      <c r="BR121" s="108">
        <f t="shared" si="338"/>
        <v>0</v>
      </c>
      <c r="BS121" s="108">
        <f t="shared" si="339"/>
        <v>57.73</v>
      </c>
      <c r="BT121" s="108">
        <f t="shared" si="340"/>
        <v>0</v>
      </c>
      <c r="BU121" s="108">
        <f>ROUND(BS121-BQ121,2)</f>
        <v>41.73</v>
      </c>
      <c r="BV121" s="108">
        <f>ROUND(BT121-BR121,2)</f>
        <v>0</v>
      </c>
      <c r="BW121" s="109">
        <v>157.27000000000001</v>
      </c>
      <c r="CA121" s="108">
        <v>850</v>
      </c>
      <c r="CB121" s="108">
        <v>0</v>
      </c>
      <c r="CC121">
        <v>935</v>
      </c>
      <c r="CD121">
        <v>0</v>
      </c>
      <c r="CE121" s="189">
        <v>78</v>
      </c>
      <c r="CF121" s="189">
        <v>0</v>
      </c>
      <c r="CG121" s="189">
        <f t="shared" si="341"/>
        <v>212.5</v>
      </c>
      <c r="CH121" s="189">
        <f t="shared" si="342"/>
        <v>0</v>
      </c>
      <c r="CI121" s="150"/>
      <c r="CJ121" s="150"/>
      <c r="CK121" s="150">
        <v>300</v>
      </c>
      <c r="CL121" s="150">
        <v>0</v>
      </c>
      <c r="CM121" s="150"/>
      <c r="CN121" s="150"/>
      <c r="CO121" s="150">
        <v>900</v>
      </c>
      <c r="CP121" s="150"/>
      <c r="CQ121" s="150">
        <f t="shared" si="343"/>
        <v>1200</v>
      </c>
      <c r="CR121" s="150">
        <f t="shared" si="344"/>
        <v>0</v>
      </c>
      <c r="CS121" s="150">
        <f t="shared" si="345"/>
        <v>900</v>
      </c>
      <c r="CT121" s="150">
        <f t="shared" si="346"/>
        <v>0</v>
      </c>
      <c r="CU121" s="150">
        <f t="shared" si="603"/>
        <v>900</v>
      </c>
      <c r="CV121" s="150">
        <f t="shared" si="604"/>
        <v>0</v>
      </c>
      <c r="CW121" s="150">
        <f t="shared" si="349"/>
        <v>225</v>
      </c>
      <c r="CX121" s="150">
        <f t="shared" si="575"/>
        <v>0</v>
      </c>
      <c r="CY121" s="150"/>
      <c r="CZ121" s="150"/>
      <c r="DA121" s="150">
        <f t="shared" si="350"/>
        <v>603</v>
      </c>
      <c r="DB121" s="150">
        <f t="shared" si="351"/>
        <v>0</v>
      </c>
      <c r="DC121" s="150">
        <v>599</v>
      </c>
      <c r="DD121" s="150">
        <v>0</v>
      </c>
      <c r="DE121" s="150">
        <f t="shared" si="352"/>
        <v>4</v>
      </c>
      <c r="DF121" s="150">
        <f t="shared" si="353"/>
        <v>0</v>
      </c>
      <c r="DG121" s="150">
        <f t="shared" si="599"/>
        <v>225</v>
      </c>
      <c r="DH121" s="150">
        <f t="shared" si="599"/>
        <v>0</v>
      </c>
      <c r="DI121" s="150">
        <f t="shared" si="354"/>
        <v>221</v>
      </c>
      <c r="DJ121" s="150">
        <f>+DH121-DF121</f>
        <v>0</v>
      </c>
      <c r="DK121" s="104">
        <f t="shared" si="577"/>
        <v>176</v>
      </c>
      <c r="DL121" s="104">
        <f t="shared" si="578"/>
        <v>0</v>
      </c>
      <c r="DM121" s="104">
        <f t="shared" si="333"/>
        <v>76</v>
      </c>
      <c r="DN121" s="104">
        <f t="shared" si="334"/>
        <v>0</v>
      </c>
      <c r="DO121" s="104">
        <v>1000</v>
      </c>
      <c r="DP121" s="104">
        <v>0</v>
      </c>
      <c r="DQ121" s="104">
        <v>1100</v>
      </c>
      <c r="DR121" s="104">
        <v>0</v>
      </c>
    </row>
    <row r="122" spans="1:129" ht="18.75">
      <c r="A122" s="18"/>
      <c r="B122" s="18" t="s">
        <v>190</v>
      </c>
      <c r="C122" s="19" t="s">
        <v>77</v>
      </c>
      <c r="D122" s="20" t="s">
        <v>188</v>
      </c>
      <c r="E122" s="21" t="s">
        <v>191</v>
      </c>
      <c r="F122" s="22">
        <v>1291.7500000000002</v>
      </c>
      <c r="G122" s="22">
        <v>91.56</v>
      </c>
      <c r="H122" s="22">
        <v>1369.9500000000003</v>
      </c>
      <c r="I122" s="22">
        <v>83.26</v>
      </c>
      <c r="J122" s="88">
        <f t="shared" ref="J122:AA122" si="608">+J120+J121</f>
        <v>1600</v>
      </c>
      <c r="K122" s="88">
        <f t="shared" si="608"/>
        <v>0</v>
      </c>
      <c r="L122" s="88">
        <f t="shared" si="608"/>
        <v>0</v>
      </c>
      <c r="M122" s="88">
        <f t="shared" si="608"/>
        <v>1600</v>
      </c>
      <c r="N122" s="88">
        <f t="shared" si="608"/>
        <v>0</v>
      </c>
      <c r="O122" s="88">
        <f t="shared" si="608"/>
        <v>0</v>
      </c>
      <c r="P122" s="88">
        <f t="shared" si="608"/>
        <v>0</v>
      </c>
      <c r="Q122" s="88">
        <f t="shared" si="608"/>
        <v>0</v>
      </c>
      <c r="R122" s="88">
        <f t="shared" si="608"/>
        <v>1600</v>
      </c>
      <c r="S122" s="88">
        <f t="shared" si="608"/>
        <v>90</v>
      </c>
      <c r="T122" s="88">
        <f t="shared" si="608"/>
        <v>0</v>
      </c>
      <c r="U122" s="88">
        <f t="shared" si="608"/>
        <v>0</v>
      </c>
      <c r="V122" s="88">
        <f t="shared" si="608"/>
        <v>1449.82</v>
      </c>
      <c r="W122" s="88">
        <f t="shared" si="608"/>
        <v>85.98</v>
      </c>
      <c r="X122" s="88">
        <f t="shared" si="608"/>
        <v>150.18000000000006</v>
      </c>
      <c r="Y122" s="88">
        <f t="shared" si="608"/>
        <v>4.019999999999996</v>
      </c>
      <c r="Z122" s="88">
        <f t="shared" si="608"/>
        <v>1449.82</v>
      </c>
      <c r="AA122" s="88">
        <f t="shared" si="608"/>
        <v>0</v>
      </c>
      <c r="AB122" s="22">
        <f t="shared" si="312"/>
        <v>1449.82</v>
      </c>
      <c r="AC122" s="109">
        <f t="shared" si="313"/>
        <v>0</v>
      </c>
      <c r="AD122" s="22">
        <f t="shared" ref="AD122:CP122" si="609">+AD120+AD121</f>
        <v>1449.82</v>
      </c>
      <c r="AE122" s="22">
        <f t="shared" si="609"/>
        <v>85.98</v>
      </c>
      <c r="AF122" s="22">
        <f t="shared" si="609"/>
        <v>81.2</v>
      </c>
      <c r="AG122" s="22">
        <f t="shared" si="609"/>
        <v>363</v>
      </c>
      <c r="AH122" s="22">
        <f t="shared" si="609"/>
        <v>21</v>
      </c>
      <c r="AI122" s="118">
        <f t="shared" si="609"/>
        <v>121</v>
      </c>
      <c r="AJ122" s="22">
        <f t="shared" si="609"/>
        <v>7</v>
      </c>
      <c r="AK122" s="22">
        <f t="shared" si="609"/>
        <v>0</v>
      </c>
      <c r="AL122" s="22">
        <f t="shared" si="609"/>
        <v>0</v>
      </c>
      <c r="AM122" s="22">
        <f t="shared" si="609"/>
        <v>362.46</v>
      </c>
      <c r="AN122" s="22">
        <f t="shared" si="609"/>
        <v>20.94</v>
      </c>
      <c r="AO122" s="22">
        <f t="shared" si="609"/>
        <v>0</v>
      </c>
      <c r="AP122" s="22">
        <f t="shared" si="609"/>
        <v>0</v>
      </c>
      <c r="AQ122" s="22">
        <f t="shared" si="609"/>
        <v>725.46</v>
      </c>
      <c r="AR122" s="22">
        <f t="shared" si="609"/>
        <v>41.94</v>
      </c>
      <c r="AS122" s="22">
        <f t="shared" si="609"/>
        <v>0</v>
      </c>
      <c r="AT122" s="22">
        <f t="shared" si="609"/>
        <v>0</v>
      </c>
      <c r="AU122" s="22">
        <f t="shared" si="609"/>
        <v>263.68</v>
      </c>
      <c r="AV122" s="22">
        <f t="shared" si="609"/>
        <v>21.5</v>
      </c>
      <c r="AW122" s="22">
        <f t="shared" si="609"/>
        <v>0</v>
      </c>
      <c r="AX122" s="22">
        <f t="shared" si="609"/>
        <v>49.56</v>
      </c>
      <c r="AY122" s="22">
        <f t="shared" si="609"/>
        <v>1110.1399999999999</v>
      </c>
      <c r="AZ122" s="22">
        <f t="shared" si="609"/>
        <v>120</v>
      </c>
      <c r="BA122" s="22">
        <f t="shared" si="609"/>
        <v>1230.1399999999999</v>
      </c>
      <c r="BB122" s="22">
        <f t="shared" si="609"/>
        <v>1062.8699999999999</v>
      </c>
      <c r="BC122" s="22">
        <f t="shared" si="609"/>
        <v>117.14</v>
      </c>
      <c r="BD122" s="22">
        <f t="shared" si="609"/>
        <v>47.269999999999982</v>
      </c>
      <c r="BE122" s="22">
        <f t="shared" si="609"/>
        <v>2.8599999999999994</v>
      </c>
      <c r="BF122" s="22">
        <f t="shared" si="609"/>
        <v>212.57</v>
      </c>
      <c r="BG122" s="118">
        <f t="shared" si="609"/>
        <v>23.43</v>
      </c>
      <c r="BH122" s="118">
        <f t="shared" si="609"/>
        <v>27.15</v>
      </c>
      <c r="BI122" s="118">
        <f t="shared" si="609"/>
        <v>0</v>
      </c>
      <c r="BJ122" s="118">
        <f t="shared" si="609"/>
        <v>0</v>
      </c>
      <c r="BK122" s="118">
        <f t="shared" si="609"/>
        <v>0</v>
      </c>
      <c r="BL122" s="118">
        <f t="shared" si="609"/>
        <v>1137.29</v>
      </c>
      <c r="BM122" s="118">
        <f t="shared" si="609"/>
        <v>120</v>
      </c>
      <c r="BN122" s="118">
        <f t="shared" si="609"/>
        <v>1257.29</v>
      </c>
      <c r="BO122" s="118">
        <f t="shared" si="609"/>
        <v>1104.8499999999999</v>
      </c>
      <c r="BP122" s="118">
        <f t="shared" si="609"/>
        <v>117.14</v>
      </c>
      <c r="BQ122" s="22">
        <f t="shared" si="609"/>
        <v>32.439999999999941</v>
      </c>
      <c r="BR122" s="22">
        <f t="shared" si="609"/>
        <v>2.8599999999999994</v>
      </c>
      <c r="BS122" s="22">
        <f t="shared" si="609"/>
        <v>100.44</v>
      </c>
      <c r="BT122" s="22">
        <f t="shared" si="609"/>
        <v>10.65</v>
      </c>
      <c r="BU122" s="22">
        <f t="shared" si="609"/>
        <v>68</v>
      </c>
      <c r="BV122" s="22">
        <f t="shared" si="609"/>
        <v>0</v>
      </c>
      <c r="BW122" s="22">
        <f t="shared" si="609"/>
        <v>157.27000000000001</v>
      </c>
      <c r="BX122" s="22">
        <f t="shared" si="609"/>
        <v>0</v>
      </c>
      <c r="BY122" s="22">
        <f t="shared" si="609"/>
        <v>0</v>
      </c>
      <c r="BZ122" s="22">
        <f t="shared" si="609"/>
        <v>0</v>
      </c>
      <c r="CA122" s="22">
        <f t="shared" si="609"/>
        <v>1362.56</v>
      </c>
      <c r="CB122" s="22">
        <f t="shared" si="609"/>
        <v>120</v>
      </c>
      <c r="CC122" s="22">
        <f t="shared" si="609"/>
        <v>1498.8200000000002</v>
      </c>
      <c r="CD122" s="118">
        <f t="shared" si="609"/>
        <v>138</v>
      </c>
      <c r="CE122" s="190">
        <f t="shared" si="609"/>
        <v>125</v>
      </c>
      <c r="CF122" s="190">
        <f t="shared" si="609"/>
        <v>0</v>
      </c>
      <c r="CG122" s="190">
        <f t="shared" si="609"/>
        <v>340.64</v>
      </c>
      <c r="CH122" s="190">
        <f t="shared" si="609"/>
        <v>30</v>
      </c>
      <c r="CI122" s="190">
        <f t="shared" si="609"/>
        <v>0</v>
      </c>
      <c r="CJ122" s="190">
        <f t="shared" si="609"/>
        <v>0</v>
      </c>
      <c r="CK122" s="190">
        <f t="shared" si="609"/>
        <v>460</v>
      </c>
      <c r="CL122" s="190">
        <f t="shared" si="609"/>
        <v>0</v>
      </c>
      <c r="CM122" s="190">
        <f t="shared" si="609"/>
        <v>0</v>
      </c>
      <c r="CN122" s="190">
        <f t="shared" si="609"/>
        <v>0</v>
      </c>
      <c r="CO122" s="190">
        <f t="shared" si="609"/>
        <v>1560</v>
      </c>
      <c r="CP122" s="190">
        <f t="shared" si="609"/>
        <v>0</v>
      </c>
      <c r="CQ122" s="190">
        <f t="shared" ref="CQ122:DX122" si="610">+CQ120+CQ121</f>
        <v>1840</v>
      </c>
      <c r="CR122" s="190">
        <f t="shared" si="610"/>
        <v>0</v>
      </c>
      <c r="CS122" s="190">
        <f t="shared" si="610"/>
        <v>1540</v>
      </c>
      <c r="CT122" s="190">
        <f t="shared" si="610"/>
        <v>0</v>
      </c>
      <c r="CU122" s="190">
        <f t="shared" si="610"/>
        <v>1540</v>
      </c>
      <c r="CV122" s="190">
        <f t="shared" si="610"/>
        <v>0</v>
      </c>
      <c r="CW122" s="190">
        <f t="shared" si="610"/>
        <v>385</v>
      </c>
      <c r="CX122" s="190">
        <f t="shared" si="610"/>
        <v>0</v>
      </c>
      <c r="CY122" s="190">
        <f t="shared" si="610"/>
        <v>0</v>
      </c>
      <c r="CZ122" s="190">
        <f t="shared" si="610"/>
        <v>0</v>
      </c>
      <c r="DA122" s="190">
        <f t="shared" si="610"/>
        <v>970</v>
      </c>
      <c r="DB122" s="190">
        <f t="shared" si="610"/>
        <v>0</v>
      </c>
      <c r="DC122" s="190">
        <f t="shared" si="610"/>
        <v>900.47</v>
      </c>
      <c r="DD122" s="190">
        <f t="shared" si="610"/>
        <v>0</v>
      </c>
      <c r="DE122" s="190">
        <f t="shared" si="610"/>
        <v>69.529999999999973</v>
      </c>
      <c r="DF122" s="190">
        <f t="shared" si="610"/>
        <v>0</v>
      </c>
      <c r="DG122" s="190">
        <f t="shared" si="610"/>
        <v>367.5</v>
      </c>
      <c r="DH122" s="190">
        <f t="shared" si="610"/>
        <v>0</v>
      </c>
      <c r="DI122" s="190">
        <f t="shared" si="610"/>
        <v>297.97000000000003</v>
      </c>
      <c r="DJ122" s="190">
        <f t="shared" si="610"/>
        <v>0</v>
      </c>
      <c r="DK122" s="104">
        <f t="shared" si="577"/>
        <v>302.02999999999997</v>
      </c>
      <c r="DL122" s="104">
        <f t="shared" si="578"/>
        <v>0</v>
      </c>
      <c r="DM122" s="104">
        <f t="shared" si="333"/>
        <v>272.02999999999997</v>
      </c>
      <c r="DN122" s="104">
        <f t="shared" si="334"/>
        <v>0</v>
      </c>
      <c r="DO122" s="22">
        <f t="shared" si="610"/>
        <v>1570</v>
      </c>
      <c r="DP122" s="22">
        <f t="shared" si="610"/>
        <v>0</v>
      </c>
      <c r="DQ122" s="22">
        <f t="shared" si="610"/>
        <v>1750</v>
      </c>
      <c r="DR122" s="22">
        <f t="shared" si="610"/>
        <v>30</v>
      </c>
      <c r="DS122" s="22">
        <f t="shared" si="610"/>
        <v>0</v>
      </c>
      <c r="DT122" s="22">
        <f t="shared" si="610"/>
        <v>0</v>
      </c>
      <c r="DU122" s="22">
        <f t="shared" si="610"/>
        <v>0</v>
      </c>
      <c r="DV122" s="22">
        <f t="shared" si="610"/>
        <v>0</v>
      </c>
      <c r="DW122" s="22">
        <f t="shared" si="610"/>
        <v>0</v>
      </c>
      <c r="DX122" s="22">
        <f t="shared" si="610"/>
        <v>0</v>
      </c>
    </row>
    <row r="123" spans="1:129" ht="18.75">
      <c r="A123" s="13">
        <v>25</v>
      </c>
      <c r="B123" s="13"/>
      <c r="C123" s="14"/>
      <c r="D123" s="15" t="s">
        <v>192</v>
      </c>
      <c r="E123" s="16"/>
      <c r="F123" s="81">
        <v>490.99999999999994</v>
      </c>
      <c r="G123" s="81">
        <v>8.3099999999999987</v>
      </c>
      <c r="H123" s="81">
        <v>490.99999999999994</v>
      </c>
      <c r="I123" s="17">
        <v>3.5399999999999991</v>
      </c>
      <c r="J123" s="86">
        <v>565</v>
      </c>
      <c r="K123" s="87">
        <v>0</v>
      </c>
      <c r="L123" s="87">
        <v>0</v>
      </c>
      <c r="M123" s="87">
        <f t="shared" si="600"/>
        <v>565</v>
      </c>
      <c r="N123" s="87">
        <v>0</v>
      </c>
      <c r="O123" s="87">
        <v>0</v>
      </c>
      <c r="P123" s="87">
        <v>0</v>
      </c>
      <c r="Q123" s="87">
        <f t="shared" si="601"/>
        <v>0</v>
      </c>
      <c r="R123" s="87">
        <f t="shared" si="602"/>
        <v>565</v>
      </c>
      <c r="S123" s="87">
        <v>40</v>
      </c>
      <c r="V123" s="17">
        <f t="shared" ref="V123" si="611">ROUND(H123*1.0583,2)</f>
        <v>519.63</v>
      </c>
      <c r="W123" s="17">
        <f t="shared" ref="W123" si="612">ROUND(I123*1.0327,2)</f>
        <v>3.66</v>
      </c>
      <c r="X123" s="108">
        <f t="shared" si="310"/>
        <v>45.370000000000005</v>
      </c>
      <c r="Y123" s="108">
        <f t="shared" si="311"/>
        <v>36.340000000000003</v>
      </c>
      <c r="Z123" s="108">
        <v>519.63</v>
      </c>
      <c r="AA123" s="108"/>
      <c r="AB123" s="108">
        <f t="shared" si="312"/>
        <v>519.63</v>
      </c>
      <c r="AC123" s="109">
        <f t="shared" si="313"/>
        <v>0</v>
      </c>
      <c r="AD123" s="108">
        <f t="shared" ref="AD123:AD124" si="613">IF(X123&gt;0,V123,R123)</f>
        <v>519.63</v>
      </c>
      <c r="AE123" s="108">
        <f t="shared" ref="AE123:AE124" si="614">IF(Y123&gt;0,W123,S123)</f>
        <v>3.66</v>
      </c>
      <c r="AF123" s="108">
        <f t="shared" si="314"/>
        <v>36.090000000000003</v>
      </c>
      <c r="AG123" s="108">
        <f t="shared" si="315"/>
        <v>130</v>
      </c>
      <c r="AH123" s="108">
        <f t="shared" si="316"/>
        <v>1</v>
      </c>
      <c r="AI123" s="127">
        <f t="shared" si="317"/>
        <v>43</v>
      </c>
      <c r="AJ123" s="108">
        <f t="shared" si="318"/>
        <v>0</v>
      </c>
      <c r="AM123" s="108">
        <f t="shared" si="319"/>
        <v>129.91</v>
      </c>
      <c r="AN123" s="108">
        <f t="shared" si="320"/>
        <v>0.89</v>
      </c>
      <c r="AQ123" s="108">
        <f t="shared" si="321"/>
        <v>259.90999999999997</v>
      </c>
      <c r="AR123" s="151">
        <f t="shared" si="322"/>
        <v>1.8900000000000001</v>
      </c>
      <c r="AS123" s="151"/>
      <c r="AT123" s="151"/>
      <c r="AU123" s="151">
        <f t="shared" si="497"/>
        <v>129.91</v>
      </c>
      <c r="AV123" s="151">
        <f t="shared" si="607"/>
        <v>0.92</v>
      </c>
      <c r="AW123" s="151"/>
      <c r="AX123" s="151"/>
      <c r="AY123" s="108">
        <f t="shared" si="303"/>
        <v>432.81999999999994</v>
      </c>
      <c r="AZ123" s="108">
        <f t="shared" si="304"/>
        <v>2.81</v>
      </c>
      <c r="BA123" s="108">
        <f t="shared" si="305"/>
        <v>435.62999999999994</v>
      </c>
      <c r="BB123" s="139">
        <v>420.47</v>
      </c>
      <c r="BC123" s="139">
        <v>2.2200000000000002</v>
      </c>
      <c r="BD123" s="139">
        <f t="shared" si="306"/>
        <v>12.349999999999909</v>
      </c>
      <c r="BE123" s="139">
        <f t="shared" si="307"/>
        <v>0.58999999999999986</v>
      </c>
      <c r="BF123" s="139">
        <f t="shared" si="308"/>
        <v>84.09</v>
      </c>
      <c r="BG123" s="139">
        <f t="shared" si="309"/>
        <v>0.44</v>
      </c>
      <c r="BH123" s="109">
        <v>35.869999999999997</v>
      </c>
      <c r="BI123" s="143">
        <v>15.6</v>
      </c>
      <c r="BJ123" s="143"/>
      <c r="BK123" s="143"/>
      <c r="BL123" s="108">
        <f t="shared" si="332"/>
        <v>468.68999999999994</v>
      </c>
      <c r="BM123" s="108">
        <f t="shared" si="335"/>
        <v>18.41</v>
      </c>
      <c r="BN123" s="108">
        <f t="shared" si="336"/>
        <v>487.09999999999997</v>
      </c>
      <c r="BO123" s="108">
        <v>464.55</v>
      </c>
      <c r="BP123" s="127">
        <v>4.08</v>
      </c>
      <c r="BQ123" s="108">
        <f t="shared" si="337"/>
        <v>4.1399999999999295</v>
      </c>
      <c r="BR123" s="108">
        <f t="shared" si="338"/>
        <v>14.33</v>
      </c>
      <c r="BS123" s="108">
        <f t="shared" si="339"/>
        <v>42.23</v>
      </c>
      <c r="BT123" s="108">
        <f t="shared" si="340"/>
        <v>0.37</v>
      </c>
      <c r="BU123" s="108">
        <v>38.090000000000003</v>
      </c>
      <c r="BV123" s="108">
        <v>0</v>
      </c>
      <c r="BW123" s="109">
        <v>4.22</v>
      </c>
      <c r="BX123" s="108">
        <v>19.989999999999998</v>
      </c>
      <c r="CA123" s="108">
        <v>511</v>
      </c>
      <c r="CB123" s="108">
        <v>38.4</v>
      </c>
      <c r="CC123">
        <v>562.1</v>
      </c>
      <c r="CD123">
        <v>44.16</v>
      </c>
      <c r="CE123" s="189">
        <v>47</v>
      </c>
      <c r="CF123" s="189">
        <v>4</v>
      </c>
      <c r="CG123" s="189">
        <f t="shared" si="341"/>
        <v>127.75</v>
      </c>
      <c r="CH123" s="189">
        <f t="shared" si="342"/>
        <v>9.6</v>
      </c>
      <c r="CI123" s="150"/>
      <c r="CJ123" s="150"/>
      <c r="CK123" s="150">
        <v>135</v>
      </c>
      <c r="CL123" s="150">
        <v>0</v>
      </c>
      <c r="CM123" s="150"/>
      <c r="CN123" s="150"/>
      <c r="CO123" s="150">
        <v>600</v>
      </c>
      <c r="CP123" s="150">
        <v>50</v>
      </c>
      <c r="CQ123" s="150">
        <f t="shared" si="343"/>
        <v>540</v>
      </c>
      <c r="CR123" s="150">
        <f t="shared" si="344"/>
        <v>0</v>
      </c>
      <c r="CS123" s="150">
        <f t="shared" si="345"/>
        <v>540</v>
      </c>
      <c r="CT123" s="150">
        <f>IF(CP123&lt;CR123,CP123,CR123)+50</f>
        <v>50</v>
      </c>
      <c r="CU123" s="150">
        <v>540</v>
      </c>
      <c r="CV123" s="150">
        <v>50</v>
      </c>
      <c r="CW123" s="150">
        <f t="shared" si="349"/>
        <v>135</v>
      </c>
      <c r="CX123" s="150">
        <f t="shared" si="575"/>
        <v>12.5</v>
      </c>
      <c r="CY123" s="150"/>
      <c r="CZ123" s="150"/>
      <c r="DA123" s="150">
        <f t="shared" si="350"/>
        <v>317</v>
      </c>
      <c r="DB123" s="150">
        <f t="shared" si="351"/>
        <v>16.5</v>
      </c>
      <c r="DC123" s="150">
        <v>304.56</v>
      </c>
      <c r="DD123" s="150">
        <v>3.18</v>
      </c>
      <c r="DE123" s="150">
        <f t="shared" si="352"/>
        <v>12.439999999999998</v>
      </c>
      <c r="DF123" s="150">
        <f t="shared" si="353"/>
        <v>13.32</v>
      </c>
      <c r="DG123" s="150">
        <f>ROUND(0.25*(MIN(CU123,DO123)),2)</f>
        <v>135</v>
      </c>
      <c r="DH123" s="150">
        <f>ROUND(0.25*(MIN(CV123,DP123)),2)</f>
        <v>9.3800000000000008</v>
      </c>
      <c r="DI123" s="150">
        <f t="shared" si="354"/>
        <v>122.56</v>
      </c>
      <c r="DJ123" s="150">
        <f>+DH123-DF123+3.94</f>
        <v>0</v>
      </c>
      <c r="DK123" s="104">
        <f t="shared" si="577"/>
        <v>100.44</v>
      </c>
      <c r="DL123" s="104">
        <f t="shared" si="578"/>
        <v>21</v>
      </c>
      <c r="DM123" s="104">
        <f t="shared" si="333"/>
        <v>100.44</v>
      </c>
      <c r="DN123" s="104">
        <f t="shared" si="334"/>
        <v>33.5</v>
      </c>
      <c r="DO123" s="104">
        <v>540</v>
      </c>
      <c r="DP123" s="104">
        <v>37.5</v>
      </c>
      <c r="DQ123" s="104">
        <v>550</v>
      </c>
      <c r="DR123" s="104">
        <v>182</v>
      </c>
    </row>
    <row r="124" spans="1:129" ht="18.75">
      <c r="A124" s="13">
        <v>26</v>
      </c>
      <c r="B124" s="13"/>
      <c r="C124" s="14"/>
      <c r="D124" s="15" t="s">
        <v>193</v>
      </c>
      <c r="E124" s="16"/>
      <c r="F124" s="81">
        <v>228.61</v>
      </c>
      <c r="G124" s="81">
        <v>0</v>
      </c>
      <c r="H124" s="81">
        <v>267.56</v>
      </c>
      <c r="I124" s="17">
        <v>0</v>
      </c>
      <c r="J124" s="86">
        <v>300</v>
      </c>
      <c r="K124" s="87">
        <v>0</v>
      </c>
      <c r="L124" s="87">
        <v>0</v>
      </c>
      <c r="M124" s="87">
        <f t="shared" si="600"/>
        <v>300</v>
      </c>
      <c r="N124" s="87">
        <v>0</v>
      </c>
      <c r="O124" s="87">
        <v>0</v>
      </c>
      <c r="P124" s="87">
        <v>0</v>
      </c>
      <c r="Q124" s="87">
        <f t="shared" si="601"/>
        <v>0</v>
      </c>
      <c r="R124" s="87">
        <f t="shared" si="602"/>
        <v>300</v>
      </c>
      <c r="S124" s="87">
        <v>0</v>
      </c>
      <c r="V124" s="17">
        <f t="shared" ref="V124" si="615">ROUND(H124*1.0583,2)</f>
        <v>283.16000000000003</v>
      </c>
      <c r="W124" s="17">
        <f t="shared" ref="W124" si="616">ROUND(I124*1.0327,2)</f>
        <v>0</v>
      </c>
      <c r="X124" s="108">
        <f t="shared" si="310"/>
        <v>16.839999999999975</v>
      </c>
      <c r="Y124" s="108">
        <f t="shared" si="311"/>
        <v>0</v>
      </c>
      <c r="Z124" s="108">
        <v>283.16000000000003</v>
      </c>
      <c r="AA124" s="108"/>
      <c r="AB124" s="108">
        <f t="shared" si="312"/>
        <v>283.16000000000003</v>
      </c>
      <c r="AC124" s="109">
        <f t="shared" si="313"/>
        <v>0</v>
      </c>
      <c r="AD124" s="108">
        <f t="shared" si="613"/>
        <v>283.16000000000003</v>
      </c>
      <c r="AE124" s="108">
        <f t="shared" si="614"/>
        <v>0</v>
      </c>
      <c r="AF124" s="108">
        <f t="shared" si="314"/>
        <v>0</v>
      </c>
      <c r="AG124" s="108">
        <f t="shared" si="315"/>
        <v>71</v>
      </c>
      <c r="AH124" s="108">
        <f t="shared" si="316"/>
        <v>0</v>
      </c>
      <c r="AI124" s="127">
        <f t="shared" si="317"/>
        <v>24</v>
      </c>
      <c r="AJ124" s="108">
        <f t="shared" si="318"/>
        <v>0</v>
      </c>
      <c r="AM124" s="108">
        <f t="shared" si="319"/>
        <v>70.790000000000006</v>
      </c>
      <c r="AN124" s="108">
        <f t="shared" si="320"/>
        <v>0</v>
      </c>
      <c r="AQ124" s="108">
        <f t="shared" si="321"/>
        <v>141.79000000000002</v>
      </c>
      <c r="AR124" s="151">
        <f t="shared" si="322"/>
        <v>0</v>
      </c>
      <c r="AS124" s="151"/>
      <c r="AT124" s="151"/>
      <c r="AU124" s="151">
        <f t="shared" si="497"/>
        <v>70.790000000000006</v>
      </c>
      <c r="AV124" s="151">
        <f t="shared" si="607"/>
        <v>0</v>
      </c>
      <c r="AW124" s="151"/>
      <c r="AX124" s="151"/>
      <c r="AY124" s="108">
        <f t="shared" si="303"/>
        <v>236.58000000000004</v>
      </c>
      <c r="AZ124" s="108">
        <f t="shared" si="304"/>
        <v>0</v>
      </c>
      <c r="BA124" s="108">
        <f t="shared" si="305"/>
        <v>236.58000000000004</v>
      </c>
      <c r="BB124" s="139">
        <v>163.75</v>
      </c>
      <c r="BD124" s="139">
        <f t="shared" si="306"/>
        <v>72.830000000000041</v>
      </c>
      <c r="BE124" s="139">
        <f t="shared" si="307"/>
        <v>0</v>
      </c>
      <c r="BF124" s="139">
        <f t="shared" si="308"/>
        <v>32.75</v>
      </c>
      <c r="BG124" s="139">
        <f t="shared" si="309"/>
        <v>0</v>
      </c>
      <c r="BH124" s="109">
        <v>0</v>
      </c>
      <c r="BI124" s="108">
        <v>0</v>
      </c>
      <c r="BL124" s="108">
        <f t="shared" si="332"/>
        <v>236.58000000000004</v>
      </c>
      <c r="BM124" s="108">
        <f t="shared" si="335"/>
        <v>0</v>
      </c>
      <c r="BN124" s="108">
        <f t="shared" si="336"/>
        <v>236.58000000000004</v>
      </c>
      <c r="BO124" s="108">
        <v>163.75</v>
      </c>
      <c r="BP124" s="127"/>
      <c r="BQ124" s="108">
        <f t="shared" si="337"/>
        <v>72.830000000000041</v>
      </c>
      <c r="BR124" s="108">
        <f t="shared" si="338"/>
        <v>0</v>
      </c>
      <c r="BS124" s="108">
        <f t="shared" si="339"/>
        <v>14.89</v>
      </c>
      <c r="BT124" s="108">
        <f t="shared" si="340"/>
        <v>0</v>
      </c>
      <c r="BU124" s="108">
        <v>0</v>
      </c>
      <c r="BV124" s="108">
        <f t="shared" ref="BV124:BV128" si="617">ROUND(BT124-BR124,2)</f>
        <v>0</v>
      </c>
      <c r="CA124" s="108">
        <v>236.58000000000004</v>
      </c>
      <c r="CB124" s="108">
        <v>0</v>
      </c>
      <c r="CC124">
        <v>260.24</v>
      </c>
      <c r="CD124">
        <v>0</v>
      </c>
      <c r="CE124" s="189">
        <v>22</v>
      </c>
      <c r="CF124" s="189">
        <v>0</v>
      </c>
      <c r="CG124" s="189">
        <f t="shared" si="341"/>
        <v>59.15</v>
      </c>
      <c r="CH124" s="189">
        <f t="shared" si="342"/>
        <v>0</v>
      </c>
      <c r="CI124" s="150"/>
      <c r="CJ124" s="150"/>
      <c r="CK124" s="150">
        <v>60</v>
      </c>
      <c r="CL124" s="150">
        <v>0</v>
      </c>
      <c r="CM124" s="150"/>
      <c r="CN124" s="150"/>
      <c r="CO124" s="150">
        <v>285</v>
      </c>
      <c r="CP124" s="150"/>
      <c r="CQ124" s="150">
        <f t="shared" si="343"/>
        <v>240</v>
      </c>
      <c r="CR124" s="150">
        <f t="shared" si="344"/>
        <v>0</v>
      </c>
      <c r="CS124" s="150">
        <f t="shared" si="345"/>
        <v>240</v>
      </c>
      <c r="CT124" s="150">
        <f t="shared" si="346"/>
        <v>0</v>
      </c>
      <c r="CU124" s="150">
        <v>240</v>
      </c>
      <c r="CV124" s="150">
        <v>0</v>
      </c>
      <c r="CW124" s="150">
        <f t="shared" si="349"/>
        <v>60</v>
      </c>
      <c r="CX124" s="150">
        <f t="shared" si="575"/>
        <v>0</v>
      </c>
      <c r="CY124" s="150"/>
      <c r="CZ124" s="150"/>
      <c r="DA124" s="150">
        <f t="shared" si="350"/>
        <v>142</v>
      </c>
      <c r="DB124" s="150">
        <f t="shared" si="351"/>
        <v>0</v>
      </c>
      <c r="DC124" s="150">
        <v>142</v>
      </c>
      <c r="DD124" s="150">
        <v>0</v>
      </c>
      <c r="DE124" s="150">
        <f t="shared" si="352"/>
        <v>0</v>
      </c>
      <c r="DF124" s="150">
        <f t="shared" si="353"/>
        <v>0</v>
      </c>
      <c r="DG124" s="150">
        <f>ROUND(0.25*(MIN(CU124,DO124)),2)</f>
        <v>60</v>
      </c>
      <c r="DH124" s="150">
        <f>ROUND(0.25*(MIN(CV124,DP124)),2)</f>
        <v>0</v>
      </c>
      <c r="DI124" s="150">
        <f t="shared" si="354"/>
        <v>60</v>
      </c>
      <c r="DJ124" s="150">
        <f>+DH124-DF124</f>
        <v>0</v>
      </c>
      <c r="DK124" s="104">
        <f t="shared" si="577"/>
        <v>38</v>
      </c>
      <c r="DL124" s="104">
        <f t="shared" si="578"/>
        <v>0</v>
      </c>
      <c r="DM124" s="104">
        <f t="shared" si="333"/>
        <v>38</v>
      </c>
      <c r="DN124" s="104">
        <f t="shared" si="334"/>
        <v>0</v>
      </c>
      <c r="DO124" s="104">
        <v>240</v>
      </c>
      <c r="DQ124" s="104">
        <v>250</v>
      </c>
    </row>
    <row r="125" spans="1:129" ht="18.75">
      <c r="A125" s="18"/>
      <c r="B125" s="18" t="s">
        <v>194</v>
      </c>
      <c r="C125" s="19" t="s">
        <v>158</v>
      </c>
      <c r="D125" s="20" t="s">
        <v>192</v>
      </c>
      <c r="E125" s="21" t="s">
        <v>195</v>
      </c>
      <c r="F125" s="22">
        <v>719.6099999999999</v>
      </c>
      <c r="G125" s="22">
        <v>8.3099999999999987</v>
      </c>
      <c r="H125" s="22">
        <v>758.56</v>
      </c>
      <c r="I125" s="22">
        <v>3.5399999999999991</v>
      </c>
      <c r="J125" s="88">
        <f t="shared" ref="J125:AA125" si="618">+J123+J124</f>
        <v>865</v>
      </c>
      <c r="K125" s="88">
        <f t="shared" si="618"/>
        <v>0</v>
      </c>
      <c r="L125" s="88">
        <f t="shared" si="618"/>
        <v>0</v>
      </c>
      <c r="M125" s="88">
        <f t="shared" si="618"/>
        <v>865</v>
      </c>
      <c r="N125" s="88">
        <f t="shared" si="618"/>
        <v>0</v>
      </c>
      <c r="O125" s="88">
        <f t="shared" si="618"/>
        <v>0</v>
      </c>
      <c r="P125" s="88">
        <f t="shared" si="618"/>
        <v>0</v>
      </c>
      <c r="Q125" s="88">
        <f t="shared" si="618"/>
        <v>0</v>
      </c>
      <c r="R125" s="88">
        <f t="shared" si="618"/>
        <v>865</v>
      </c>
      <c r="S125" s="88">
        <f t="shared" si="618"/>
        <v>40</v>
      </c>
      <c r="T125" s="88">
        <f t="shared" si="618"/>
        <v>0</v>
      </c>
      <c r="U125" s="88">
        <f t="shared" si="618"/>
        <v>0</v>
      </c>
      <c r="V125" s="88">
        <f t="shared" si="618"/>
        <v>802.79</v>
      </c>
      <c r="W125" s="88">
        <f t="shared" si="618"/>
        <v>3.66</v>
      </c>
      <c r="X125" s="88">
        <f t="shared" si="618"/>
        <v>62.20999999999998</v>
      </c>
      <c r="Y125" s="88">
        <f t="shared" si="618"/>
        <v>36.340000000000003</v>
      </c>
      <c r="Z125" s="88">
        <f t="shared" si="618"/>
        <v>802.79</v>
      </c>
      <c r="AA125" s="88">
        <f t="shared" si="618"/>
        <v>0</v>
      </c>
      <c r="AB125" s="22">
        <f t="shared" si="312"/>
        <v>802.79</v>
      </c>
      <c r="AC125" s="109">
        <f t="shared" si="313"/>
        <v>0</v>
      </c>
      <c r="AD125" s="22">
        <f t="shared" ref="AD125:CO125" si="619">+AD123+AD124</f>
        <v>802.79</v>
      </c>
      <c r="AE125" s="22">
        <f t="shared" si="619"/>
        <v>3.66</v>
      </c>
      <c r="AF125" s="22">
        <f t="shared" si="619"/>
        <v>36.090000000000003</v>
      </c>
      <c r="AG125" s="22">
        <f t="shared" si="619"/>
        <v>201</v>
      </c>
      <c r="AH125" s="22">
        <f t="shared" si="619"/>
        <v>1</v>
      </c>
      <c r="AI125" s="118">
        <f t="shared" si="619"/>
        <v>67</v>
      </c>
      <c r="AJ125" s="22">
        <f t="shared" si="619"/>
        <v>0</v>
      </c>
      <c r="AK125" s="22">
        <f t="shared" si="619"/>
        <v>0</v>
      </c>
      <c r="AL125" s="22">
        <f t="shared" si="619"/>
        <v>0</v>
      </c>
      <c r="AM125" s="22">
        <f t="shared" si="619"/>
        <v>200.7</v>
      </c>
      <c r="AN125" s="22">
        <f t="shared" si="619"/>
        <v>0.89</v>
      </c>
      <c r="AO125" s="22">
        <f t="shared" si="619"/>
        <v>0</v>
      </c>
      <c r="AP125" s="22">
        <f t="shared" si="619"/>
        <v>0</v>
      </c>
      <c r="AQ125" s="22">
        <f t="shared" si="619"/>
        <v>401.7</v>
      </c>
      <c r="AR125" s="22">
        <f t="shared" si="619"/>
        <v>1.8900000000000001</v>
      </c>
      <c r="AS125" s="22">
        <f t="shared" si="619"/>
        <v>0</v>
      </c>
      <c r="AT125" s="22">
        <f t="shared" si="619"/>
        <v>0</v>
      </c>
      <c r="AU125" s="22">
        <f t="shared" si="619"/>
        <v>200.7</v>
      </c>
      <c r="AV125" s="22">
        <f t="shared" si="619"/>
        <v>0.92</v>
      </c>
      <c r="AW125" s="22">
        <f t="shared" si="619"/>
        <v>0</v>
      </c>
      <c r="AX125" s="22">
        <f t="shared" si="619"/>
        <v>0</v>
      </c>
      <c r="AY125" s="22">
        <f t="shared" si="619"/>
        <v>669.4</v>
      </c>
      <c r="AZ125" s="22">
        <f t="shared" si="619"/>
        <v>2.81</v>
      </c>
      <c r="BA125" s="22">
        <f t="shared" si="619"/>
        <v>672.21</v>
      </c>
      <c r="BB125" s="22">
        <f t="shared" si="619"/>
        <v>584.22</v>
      </c>
      <c r="BC125" s="22">
        <f t="shared" si="619"/>
        <v>2.2200000000000002</v>
      </c>
      <c r="BD125" s="22">
        <f t="shared" si="619"/>
        <v>85.17999999999995</v>
      </c>
      <c r="BE125" s="22">
        <f t="shared" si="619"/>
        <v>0.58999999999999986</v>
      </c>
      <c r="BF125" s="22">
        <f t="shared" si="619"/>
        <v>116.84</v>
      </c>
      <c r="BG125" s="118">
        <f t="shared" si="619"/>
        <v>0.44</v>
      </c>
      <c r="BH125" s="118">
        <f t="shared" si="619"/>
        <v>35.869999999999997</v>
      </c>
      <c r="BI125" s="118">
        <f t="shared" si="619"/>
        <v>15.6</v>
      </c>
      <c r="BJ125" s="118">
        <f t="shared" si="619"/>
        <v>0</v>
      </c>
      <c r="BK125" s="118">
        <f t="shared" si="619"/>
        <v>0</v>
      </c>
      <c r="BL125" s="118">
        <f t="shared" si="619"/>
        <v>705.27</v>
      </c>
      <c r="BM125" s="118">
        <f t="shared" si="619"/>
        <v>18.41</v>
      </c>
      <c r="BN125" s="118">
        <f t="shared" si="619"/>
        <v>723.68000000000006</v>
      </c>
      <c r="BO125" s="118">
        <f t="shared" si="619"/>
        <v>628.29999999999995</v>
      </c>
      <c r="BP125" s="118">
        <f t="shared" si="619"/>
        <v>4.08</v>
      </c>
      <c r="BQ125" s="22">
        <f t="shared" si="619"/>
        <v>76.96999999999997</v>
      </c>
      <c r="BR125" s="22">
        <f t="shared" si="619"/>
        <v>14.33</v>
      </c>
      <c r="BS125" s="22">
        <f t="shared" si="619"/>
        <v>57.12</v>
      </c>
      <c r="BT125" s="22">
        <f t="shared" si="619"/>
        <v>0.37</v>
      </c>
      <c r="BU125" s="22">
        <f t="shared" si="619"/>
        <v>38.090000000000003</v>
      </c>
      <c r="BV125" s="22">
        <f t="shared" si="619"/>
        <v>0</v>
      </c>
      <c r="BW125" s="22">
        <f t="shared" si="619"/>
        <v>4.22</v>
      </c>
      <c r="BX125" s="22">
        <f t="shared" si="619"/>
        <v>19.989999999999998</v>
      </c>
      <c r="BY125" s="22">
        <f t="shared" si="619"/>
        <v>0</v>
      </c>
      <c r="BZ125" s="22">
        <f t="shared" si="619"/>
        <v>0</v>
      </c>
      <c r="CA125" s="22">
        <f t="shared" si="619"/>
        <v>747.58</v>
      </c>
      <c r="CB125" s="22">
        <f t="shared" si="619"/>
        <v>38.4</v>
      </c>
      <c r="CC125" s="22">
        <f t="shared" si="619"/>
        <v>822.34</v>
      </c>
      <c r="CD125" s="118">
        <f t="shared" si="619"/>
        <v>44.16</v>
      </c>
      <c r="CE125" s="190">
        <f t="shared" si="619"/>
        <v>69</v>
      </c>
      <c r="CF125" s="190">
        <f t="shared" si="619"/>
        <v>4</v>
      </c>
      <c r="CG125" s="190">
        <f t="shared" si="619"/>
        <v>186.9</v>
      </c>
      <c r="CH125" s="190">
        <f t="shared" si="619"/>
        <v>9.6</v>
      </c>
      <c r="CI125" s="190">
        <f t="shared" si="619"/>
        <v>0</v>
      </c>
      <c r="CJ125" s="190">
        <f t="shared" si="619"/>
        <v>0</v>
      </c>
      <c r="CK125" s="190">
        <f t="shared" si="619"/>
        <v>195</v>
      </c>
      <c r="CL125" s="190">
        <f t="shared" si="619"/>
        <v>0</v>
      </c>
      <c r="CM125" s="190">
        <f t="shared" si="619"/>
        <v>0</v>
      </c>
      <c r="CN125" s="190">
        <f t="shared" si="619"/>
        <v>0</v>
      </c>
      <c r="CO125" s="190">
        <f t="shared" si="619"/>
        <v>885</v>
      </c>
      <c r="CP125" s="190">
        <f t="shared" ref="CP125:DU125" si="620">+CP123+CP124</f>
        <v>50</v>
      </c>
      <c r="CQ125" s="190">
        <f t="shared" si="620"/>
        <v>780</v>
      </c>
      <c r="CR125" s="190">
        <f t="shared" si="620"/>
        <v>0</v>
      </c>
      <c r="CS125" s="190">
        <f t="shared" si="620"/>
        <v>780</v>
      </c>
      <c r="CT125" s="190">
        <f t="shared" si="620"/>
        <v>50</v>
      </c>
      <c r="CU125" s="190">
        <f t="shared" si="620"/>
        <v>780</v>
      </c>
      <c r="CV125" s="190">
        <f t="shared" si="620"/>
        <v>50</v>
      </c>
      <c r="CW125" s="190">
        <f t="shared" si="620"/>
        <v>195</v>
      </c>
      <c r="CX125" s="190">
        <f t="shared" si="620"/>
        <v>12.5</v>
      </c>
      <c r="CY125" s="190">
        <f t="shared" si="620"/>
        <v>0</v>
      </c>
      <c r="CZ125" s="190">
        <f t="shared" si="620"/>
        <v>0</v>
      </c>
      <c r="DA125" s="190">
        <f t="shared" si="620"/>
        <v>459</v>
      </c>
      <c r="DB125" s="190">
        <f t="shared" si="620"/>
        <v>16.5</v>
      </c>
      <c r="DC125" s="190">
        <f t="shared" si="620"/>
        <v>446.56</v>
      </c>
      <c r="DD125" s="190">
        <f t="shared" si="620"/>
        <v>3.18</v>
      </c>
      <c r="DE125" s="190">
        <f t="shared" si="620"/>
        <v>12.439999999999998</v>
      </c>
      <c r="DF125" s="190">
        <f t="shared" si="620"/>
        <v>13.32</v>
      </c>
      <c r="DG125" s="190">
        <f t="shared" si="620"/>
        <v>195</v>
      </c>
      <c r="DH125" s="190">
        <f t="shared" si="620"/>
        <v>9.3800000000000008</v>
      </c>
      <c r="DI125" s="190">
        <f t="shared" si="620"/>
        <v>182.56</v>
      </c>
      <c r="DJ125" s="190">
        <f t="shared" si="620"/>
        <v>0</v>
      </c>
      <c r="DK125" s="104">
        <f t="shared" si="577"/>
        <v>138.44</v>
      </c>
      <c r="DL125" s="104">
        <f t="shared" si="578"/>
        <v>21</v>
      </c>
      <c r="DM125" s="104">
        <f t="shared" si="333"/>
        <v>138.44</v>
      </c>
      <c r="DN125" s="104">
        <f t="shared" si="334"/>
        <v>33.5</v>
      </c>
      <c r="DO125" s="22">
        <f t="shared" si="620"/>
        <v>780</v>
      </c>
      <c r="DP125" s="22">
        <f t="shared" si="620"/>
        <v>37.5</v>
      </c>
      <c r="DQ125" s="22">
        <f t="shared" si="620"/>
        <v>800</v>
      </c>
      <c r="DR125" s="22">
        <f t="shared" si="620"/>
        <v>182</v>
      </c>
      <c r="DS125" s="22">
        <f t="shared" si="620"/>
        <v>0</v>
      </c>
      <c r="DT125" s="22">
        <f t="shared" si="620"/>
        <v>0</v>
      </c>
      <c r="DU125" s="22">
        <f t="shared" si="620"/>
        <v>0</v>
      </c>
    </row>
    <row r="126" spans="1:129" ht="18.75">
      <c r="A126" s="18">
        <v>27</v>
      </c>
      <c r="B126" s="18" t="s">
        <v>196</v>
      </c>
      <c r="C126" s="19" t="s">
        <v>28</v>
      </c>
      <c r="D126" s="20" t="s">
        <v>197</v>
      </c>
      <c r="E126" s="21" t="s">
        <v>198</v>
      </c>
      <c r="F126" s="81">
        <v>585.24</v>
      </c>
      <c r="G126" s="81">
        <v>128.16</v>
      </c>
      <c r="H126" s="81">
        <v>585.24</v>
      </c>
      <c r="I126" s="22">
        <v>128.16</v>
      </c>
      <c r="J126" s="88">
        <v>640</v>
      </c>
      <c r="K126" s="88">
        <v>0</v>
      </c>
      <c r="L126" s="88">
        <v>0</v>
      </c>
      <c r="M126" s="88">
        <f>J126+K126+L126</f>
        <v>640</v>
      </c>
      <c r="N126" s="88">
        <v>0</v>
      </c>
      <c r="O126" s="88">
        <v>0</v>
      </c>
      <c r="P126" s="88">
        <v>0</v>
      </c>
      <c r="Q126" s="88">
        <f>+N126+O126+P126</f>
        <v>0</v>
      </c>
      <c r="R126" s="88">
        <f>+Q126+M126</f>
        <v>640</v>
      </c>
      <c r="S126" s="88">
        <v>30</v>
      </c>
      <c r="V126" s="22">
        <f t="shared" ref="V126:V132" si="621">ROUND(H126*1.0583,2)</f>
        <v>619.36</v>
      </c>
      <c r="W126" s="22">
        <f t="shared" ref="W126:W132" si="622">ROUND(I126*1.0327,2)</f>
        <v>132.35</v>
      </c>
      <c r="X126" s="22">
        <f t="shared" si="310"/>
        <v>20.639999999999986</v>
      </c>
      <c r="Y126" s="22">
        <f t="shared" si="311"/>
        <v>-102.35</v>
      </c>
      <c r="Z126" s="22">
        <v>619.36</v>
      </c>
      <c r="AA126" s="22"/>
      <c r="AB126" s="22">
        <f t="shared" si="312"/>
        <v>619.36</v>
      </c>
      <c r="AC126" s="109">
        <f t="shared" si="313"/>
        <v>0</v>
      </c>
      <c r="AD126" s="22">
        <f t="shared" ref="AD126" si="623">IF(X126&gt;0,V126,R126)</f>
        <v>619.36</v>
      </c>
      <c r="AE126" s="22">
        <f t="shared" ref="AE126" si="624">IF(Y126&gt;0,W126,S126)</f>
        <v>30</v>
      </c>
      <c r="AF126" s="22">
        <f t="shared" si="314"/>
        <v>27.07</v>
      </c>
      <c r="AG126" s="108">
        <f t="shared" si="315"/>
        <v>155</v>
      </c>
      <c r="AH126" s="108">
        <f t="shared" si="316"/>
        <v>8</v>
      </c>
      <c r="AI126" s="127">
        <f t="shared" si="317"/>
        <v>52</v>
      </c>
      <c r="AJ126" s="108">
        <f t="shared" si="318"/>
        <v>3</v>
      </c>
      <c r="AM126" s="108">
        <f t="shared" si="319"/>
        <v>154.84</v>
      </c>
      <c r="AN126" s="108">
        <f t="shared" si="320"/>
        <v>7.31</v>
      </c>
      <c r="AQ126" s="108">
        <f t="shared" si="321"/>
        <v>309.84000000000003</v>
      </c>
      <c r="AR126" s="151">
        <f t="shared" si="322"/>
        <v>15.309999999999999</v>
      </c>
      <c r="AS126" s="151"/>
      <c r="AT126" s="151"/>
      <c r="AU126" s="151">
        <f t="shared" si="497"/>
        <v>154.84</v>
      </c>
      <c r="AV126" s="151">
        <v>28.69</v>
      </c>
      <c r="AW126" s="142">
        <v>22.4</v>
      </c>
      <c r="AX126" s="151"/>
      <c r="AY126" s="108">
        <f t="shared" si="303"/>
        <v>539.08000000000004</v>
      </c>
      <c r="AZ126" s="108">
        <f t="shared" si="304"/>
        <v>47</v>
      </c>
      <c r="BA126" s="108">
        <f t="shared" si="305"/>
        <v>586.08000000000004</v>
      </c>
      <c r="BB126" s="139">
        <v>539.54</v>
      </c>
      <c r="BC126" s="139">
        <v>45.59</v>
      </c>
      <c r="BD126" s="139">
        <f t="shared" si="306"/>
        <v>-0.45999999999992269</v>
      </c>
      <c r="BE126" s="139">
        <f t="shared" si="307"/>
        <v>1.4099999999999966</v>
      </c>
      <c r="BF126" s="139">
        <f t="shared" si="308"/>
        <v>107.91</v>
      </c>
      <c r="BG126" s="139">
        <f t="shared" si="309"/>
        <v>9.1199999999999992</v>
      </c>
      <c r="BH126" s="143">
        <v>54.46</v>
      </c>
      <c r="BI126" s="108">
        <v>1</v>
      </c>
      <c r="BL126" s="108">
        <f t="shared" si="332"/>
        <v>593.54000000000008</v>
      </c>
      <c r="BM126" s="108">
        <f t="shared" si="335"/>
        <v>48</v>
      </c>
      <c r="BN126" s="108">
        <f t="shared" si="336"/>
        <v>641.54000000000008</v>
      </c>
      <c r="BO126" s="108">
        <v>593.05999999999995</v>
      </c>
      <c r="BP126" s="127">
        <v>45.86</v>
      </c>
      <c r="BQ126" s="108">
        <f t="shared" si="337"/>
        <v>0.48000000000013188</v>
      </c>
      <c r="BR126" s="108">
        <f t="shared" si="338"/>
        <v>2.1400000000000006</v>
      </c>
      <c r="BS126" s="108">
        <f t="shared" si="339"/>
        <v>53.91</v>
      </c>
      <c r="BT126" s="108">
        <f t="shared" si="340"/>
        <v>4.17</v>
      </c>
      <c r="BU126" s="108">
        <v>53.43</v>
      </c>
      <c r="BV126" s="108">
        <v>0</v>
      </c>
      <c r="CA126" s="108">
        <v>646.97</v>
      </c>
      <c r="CB126" s="108">
        <v>48</v>
      </c>
      <c r="CC126">
        <v>711.67</v>
      </c>
      <c r="CD126">
        <v>55.2</v>
      </c>
      <c r="CE126" s="189">
        <v>59</v>
      </c>
      <c r="CF126" s="189">
        <v>5</v>
      </c>
      <c r="CG126" s="189">
        <f t="shared" si="341"/>
        <v>161.74</v>
      </c>
      <c r="CH126" s="189">
        <f t="shared" si="342"/>
        <v>12</v>
      </c>
      <c r="CI126" s="150"/>
      <c r="CJ126" s="150"/>
      <c r="CK126" s="150">
        <v>185</v>
      </c>
      <c r="CL126" s="150">
        <v>12</v>
      </c>
      <c r="CM126" s="150"/>
      <c r="CN126" s="150"/>
      <c r="CO126" s="150">
        <v>726</v>
      </c>
      <c r="CP126" s="150">
        <v>80</v>
      </c>
      <c r="CQ126" s="150">
        <f t="shared" si="343"/>
        <v>740</v>
      </c>
      <c r="CR126" s="150">
        <f t="shared" si="344"/>
        <v>48</v>
      </c>
      <c r="CS126" s="150">
        <f t="shared" si="345"/>
        <v>726</v>
      </c>
      <c r="CT126" s="150">
        <f t="shared" si="346"/>
        <v>48</v>
      </c>
      <c r="CU126" s="150">
        <f t="shared" ref="CU126" si="625">IF(CQ126&lt;CS126,CQ126,CS126)</f>
        <v>726</v>
      </c>
      <c r="CV126" s="150">
        <f t="shared" ref="CV126" si="626">IF(CR126&lt;CT126,CR126,CT126)</f>
        <v>48</v>
      </c>
      <c r="CW126" s="150">
        <f t="shared" si="349"/>
        <v>181.5</v>
      </c>
      <c r="CX126" s="150">
        <f>ROUND(CV126*25%,2)-5</f>
        <v>7</v>
      </c>
      <c r="CY126" s="150"/>
      <c r="CZ126" s="150"/>
      <c r="DA126" s="150">
        <f t="shared" si="350"/>
        <v>425.5</v>
      </c>
      <c r="DB126" s="150">
        <f t="shared" si="351"/>
        <v>24</v>
      </c>
      <c r="DC126" s="150">
        <v>424.1</v>
      </c>
      <c r="DD126" s="150">
        <v>23</v>
      </c>
      <c r="DE126" s="150">
        <f t="shared" si="352"/>
        <v>1.3999999999999773</v>
      </c>
      <c r="DF126" s="150">
        <f t="shared" si="353"/>
        <v>1</v>
      </c>
      <c r="DG126" s="150">
        <f t="shared" ref="DG126:DH133" si="627">ROUND(0.25*(MIN(CU126,DO126)),2)</f>
        <v>181.5</v>
      </c>
      <c r="DH126" s="150">
        <f t="shared" si="627"/>
        <v>12</v>
      </c>
      <c r="DI126" s="150">
        <f t="shared" si="354"/>
        <v>180.10000000000002</v>
      </c>
      <c r="DJ126" s="150">
        <f>+DH126-DF126</f>
        <v>11</v>
      </c>
      <c r="DK126" s="104">
        <f t="shared" si="577"/>
        <v>270.39999999999998</v>
      </c>
      <c r="DL126" s="104">
        <f t="shared" si="578"/>
        <v>30</v>
      </c>
      <c r="DM126" s="104">
        <f t="shared" si="333"/>
        <v>120.39999999999998</v>
      </c>
      <c r="DN126" s="104">
        <f t="shared" si="334"/>
        <v>13</v>
      </c>
      <c r="DO126" s="104">
        <v>876</v>
      </c>
      <c r="DP126" s="104">
        <v>65</v>
      </c>
      <c r="DQ126" s="104">
        <v>1050</v>
      </c>
      <c r="DR126" s="104">
        <v>95</v>
      </c>
    </row>
    <row r="127" spans="1:129" ht="37.5">
      <c r="A127" s="18">
        <v>28</v>
      </c>
      <c r="B127" s="18" t="s">
        <v>199</v>
      </c>
      <c r="C127" s="19" t="s">
        <v>13</v>
      </c>
      <c r="D127" s="20" t="s">
        <v>200</v>
      </c>
      <c r="E127" s="21" t="s">
        <v>201</v>
      </c>
      <c r="F127" s="81">
        <v>650.38</v>
      </c>
      <c r="G127" s="81">
        <v>25.85</v>
      </c>
      <c r="H127" s="81">
        <v>650.38</v>
      </c>
      <c r="I127" s="22">
        <v>15.810000000000002</v>
      </c>
      <c r="J127" s="88">
        <v>700</v>
      </c>
      <c r="K127" s="88">
        <v>0</v>
      </c>
      <c r="L127" s="88">
        <v>0.1</v>
      </c>
      <c r="M127" s="88">
        <f t="shared" ref="M127:M133" si="628">J127+K127+L127</f>
        <v>700.1</v>
      </c>
      <c r="N127" s="88">
        <v>0</v>
      </c>
      <c r="O127" s="88">
        <v>0</v>
      </c>
      <c r="P127" s="88">
        <v>0</v>
      </c>
      <c r="Q127" s="88">
        <f t="shared" ref="Q127:Q133" si="629">+N127+O127+P127</f>
        <v>0</v>
      </c>
      <c r="R127" s="88">
        <f t="shared" ref="R127:R133" si="630">+Q127+M127</f>
        <v>700.1</v>
      </c>
      <c r="S127" s="88">
        <v>31</v>
      </c>
      <c r="V127" s="22">
        <f t="shared" si="621"/>
        <v>688.3</v>
      </c>
      <c r="W127" s="22">
        <f t="shared" si="622"/>
        <v>16.329999999999998</v>
      </c>
      <c r="X127" s="22">
        <f t="shared" si="310"/>
        <v>11.800000000000068</v>
      </c>
      <c r="Y127" s="22">
        <f t="shared" si="311"/>
        <v>14.670000000000002</v>
      </c>
      <c r="Z127" s="22">
        <v>688.3</v>
      </c>
      <c r="AA127" s="22"/>
      <c r="AB127" s="22">
        <f t="shared" si="312"/>
        <v>688.3</v>
      </c>
      <c r="AC127" s="109">
        <f t="shared" si="313"/>
        <v>0</v>
      </c>
      <c r="AD127" s="22">
        <f t="shared" ref="AD127:AD132" si="631">IF(X127&gt;0,V127,R127)</f>
        <v>688.3</v>
      </c>
      <c r="AE127" s="119">
        <f>IF(Y127&gt;0,W127,S127)+13.67</f>
        <v>30</v>
      </c>
      <c r="AF127" s="22">
        <f t="shared" si="314"/>
        <v>27.97</v>
      </c>
      <c r="AG127" s="108">
        <f t="shared" si="315"/>
        <v>172</v>
      </c>
      <c r="AH127" s="108">
        <f>ROUND(AE127/4,0)-4</f>
        <v>4</v>
      </c>
      <c r="AI127" s="127">
        <f t="shared" si="317"/>
        <v>57</v>
      </c>
      <c r="AJ127" s="108">
        <f>ROUND(AE127/12,0)-2</f>
        <v>1</v>
      </c>
      <c r="AL127" s="143">
        <v>26</v>
      </c>
      <c r="AM127" s="108">
        <f t="shared" si="319"/>
        <v>172.08</v>
      </c>
      <c r="AN127" s="108">
        <f>ROUND(AE127*24.35%,2)-7.31</f>
        <v>0</v>
      </c>
      <c r="AO127" s="116"/>
      <c r="AP127" s="116"/>
      <c r="AQ127" s="116">
        <f t="shared" si="321"/>
        <v>344.08000000000004</v>
      </c>
      <c r="AR127" s="138">
        <f t="shared" si="322"/>
        <v>30</v>
      </c>
      <c r="AS127" s="138"/>
      <c r="AT127" s="138"/>
      <c r="AU127" s="138">
        <f t="shared" si="497"/>
        <v>172.08</v>
      </c>
      <c r="AV127" s="138">
        <v>0</v>
      </c>
      <c r="AW127" s="138"/>
      <c r="AX127" s="142">
        <v>3.25</v>
      </c>
      <c r="AY127" s="108">
        <f t="shared" si="303"/>
        <v>573.16000000000008</v>
      </c>
      <c r="AZ127" s="108">
        <f t="shared" si="304"/>
        <v>34.25</v>
      </c>
      <c r="BA127" s="108">
        <f t="shared" si="305"/>
        <v>607.41000000000008</v>
      </c>
      <c r="BB127" s="139">
        <v>567.83000000000004</v>
      </c>
      <c r="BC127" s="139">
        <v>29.48</v>
      </c>
      <c r="BD127" s="139">
        <f t="shared" si="306"/>
        <v>5.3300000000000409</v>
      </c>
      <c r="BE127" s="139">
        <f t="shared" si="307"/>
        <v>4.7699999999999996</v>
      </c>
      <c r="BF127" s="139">
        <f t="shared" si="308"/>
        <v>113.57</v>
      </c>
      <c r="BG127" s="139">
        <f t="shared" si="309"/>
        <v>5.9</v>
      </c>
      <c r="BH127" s="108">
        <v>47.84</v>
      </c>
      <c r="BI127" s="108">
        <v>0</v>
      </c>
      <c r="BJ127" s="108">
        <v>5.16</v>
      </c>
      <c r="BL127" s="108">
        <f t="shared" si="332"/>
        <v>626.16000000000008</v>
      </c>
      <c r="BM127" s="108">
        <f t="shared" si="335"/>
        <v>34.25</v>
      </c>
      <c r="BN127" s="108">
        <f t="shared" si="336"/>
        <v>660.41000000000008</v>
      </c>
      <c r="BO127" s="108">
        <v>617.91</v>
      </c>
      <c r="BP127" s="127">
        <v>31.73</v>
      </c>
      <c r="BQ127" s="108">
        <f t="shared" si="337"/>
        <v>8.2500000000001137</v>
      </c>
      <c r="BR127" s="108">
        <f t="shared" si="338"/>
        <v>2.5199999999999996</v>
      </c>
      <c r="BS127" s="108">
        <f t="shared" si="339"/>
        <v>56.17</v>
      </c>
      <c r="BT127" s="108">
        <f t="shared" si="340"/>
        <v>2.88</v>
      </c>
      <c r="BU127" s="143">
        <v>50</v>
      </c>
      <c r="BV127" s="108">
        <v>0</v>
      </c>
      <c r="CA127" s="108">
        <v>676.16000000000008</v>
      </c>
      <c r="CB127" s="108">
        <v>34.25</v>
      </c>
      <c r="CC127">
        <v>743.78</v>
      </c>
      <c r="CD127">
        <v>39.39</v>
      </c>
      <c r="CE127" s="189">
        <v>62</v>
      </c>
      <c r="CF127" s="189">
        <v>3</v>
      </c>
      <c r="CG127" s="189">
        <f t="shared" si="341"/>
        <v>169.04</v>
      </c>
      <c r="CH127" s="189">
        <f t="shared" si="342"/>
        <v>8.56</v>
      </c>
      <c r="CI127" s="150"/>
      <c r="CJ127" s="150"/>
      <c r="CK127" s="150">
        <f>248-40</f>
        <v>208</v>
      </c>
      <c r="CL127" s="150">
        <f>62-12-10</f>
        <v>40</v>
      </c>
      <c r="CM127" s="150"/>
      <c r="CN127" s="150">
        <v>60</v>
      </c>
      <c r="CO127" s="150">
        <v>690</v>
      </c>
      <c r="CP127" s="150">
        <v>120</v>
      </c>
      <c r="CQ127" s="150">
        <f t="shared" si="343"/>
        <v>832</v>
      </c>
      <c r="CR127" s="150">
        <f t="shared" si="344"/>
        <v>160</v>
      </c>
      <c r="CS127" s="150">
        <f t="shared" si="345"/>
        <v>690</v>
      </c>
      <c r="CT127" s="150">
        <f t="shared" si="346"/>
        <v>120</v>
      </c>
      <c r="CU127" s="150">
        <v>775</v>
      </c>
      <c r="CV127" s="150">
        <v>120</v>
      </c>
      <c r="CW127" s="150">
        <f t="shared" si="349"/>
        <v>193.75</v>
      </c>
      <c r="CX127" s="150">
        <f>ROUND(CV127*25%,2)-13-10-7</f>
        <v>0</v>
      </c>
      <c r="CY127" s="150">
        <v>15</v>
      </c>
      <c r="CZ127" s="150">
        <v>0</v>
      </c>
      <c r="DA127" s="150">
        <f t="shared" si="350"/>
        <v>478.75</v>
      </c>
      <c r="DB127" s="150">
        <f t="shared" si="351"/>
        <v>103</v>
      </c>
      <c r="DC127" s="150">
        <v>474.5</v>
      </c>
      <c r="DD127" s="150">
        <v>101.27</v>
      </c>
      <c r="DE127" s="150">
        <f t="shared" si="352"/>
        <v>4.25</v>
      </c>
      <c r="DF127" s="150">
        <f t="shared" si="353"/>
        <v>1.730000000000004</v>
      </c>
      <c r="DG127" s="150">
        <f t="shared" si="627"/>
        <v>193.75</v>
      </c>
      <c r="DH127" s="150">
        <f t="shared" si="627"/>
        <v>30</v>
      </c>
      <c r="DI127" s="150">
        <f t="shared" si="354"/>
        <v>189.5</v>
      </c>
      <c r="DJ127" s="150">
        <f>+DH127-DF127-10-1.27</f>
        <v>16.999999999999996</v>
      </c>
      <c r="DK127" s="104">
        <f t="shared" si="577"/>
        <v>106.75</v>
      </c>
      <c r="DL127" s="104">
        <f t="shared" si="578"/>
        <v>5.0000000000000036</v>
      </c>
      <c r="DM127" s="104">
        <f t="shared" si="333"/>
        <v>106.75</v>
      </c>
      <c r="DN127" s="104">
        <f t="shared" si="334"/>
        <v>0</v>
      </c>
      <c r="DO127" s="104">
        <f>775</f>
        <v>775</v>
      </c>
      <c r="DP127" s="104">
        <v>125</v>
      </c>
      <c r="DQ127" s="104">
        <v>900</v>
      </c>
      <c r="DR127" s="104">
        <v>40</v>
      </c>
    </row>
    <row r="128" spans="1:129" ht="18.75">
      <c r="A128" s="18">
        <v>29</v>
      </c>
      <c r="B128" s="18" t="s">
        <v>202</v>
      </c>
      <c r="C128" s="19" t="s">
        <v>203</v>
      </c>
      <c r="D128" s="20" t="s">
        <v>204</v>
      </c>
      <c r="E128" s="21">
        <v>721000</v>
      </c>
      <c r="F128" s="81">
        <v>320.75</v>
      </c>
      <c r="G128" s="81">
        <v>0</v>
      </c>
      <c r="H128" s="81">
        <v>310.75</v>
      </c>
      <c r="I128" s="22">
        <v>0</v>
      </c>
      <c r="J128" s="88">
        <v>0</v>
      </c>
      <c r="K128" s="88">
        <v>0</v>
      </c>
      <c r="L128" s="88">
        <v>0</v>
      </c>
      <c r="M128" s="88">
        <f t="shared" si="628"/>
        <v>0</v>
      </c>
      <c r="N128" s="88">
        <v>350</v>
      </c>
      <c r="O128" s="88">
        <v>13</v>
      </c>
      <c r="P128" s="88">
        <v>0</v>
      </c>
      <c r="Q128" s="88">
        <f t="shared" si="629"/>
        <v>363</v>
      </c>
      <c r="R128" s="88">
        <f t="shared" si="630"/>
        <v>363</v>
      </c>
      <c r="S128" s="88">
        <v>0</v>
      </c>
      <c r="V128" s="22">
        <f t="shared" si="621"/>
        <v>328.87</v>
      </c>
      <c r="W128" s="22">
        <f t="shared" si="622"/>
        <v>0</v>
      </c>
      <c r="X128" s="22">
        <f t="shared" si="310"/>
        <v>34.129999999999995</v>
      </c>
      <c r="Y128" s="22">
        <f t="shared" si="311"/>
        <v>0</v>
      </c>
      <c r="Z128" s="22">
        <v>0</v>
      </c>
      <c r="AA128" s="22">
        <v>328.87</v>
      </c>
      <c r="AB128" s="22">
        <f t="shared" si="312"/>
        <v>328.87</v>
      </c>
      <c r="AC128" s="109">
        <f t="shared" si="313"/>
        <v>0</v>
      </c>
      <c r="AD128" s="22">
        <f t="shared" si="631"/>
        <v>328.87</v>
      </c>
      <c r="AE128" s="22">
        <f t="shared" ref="AE128:AE132" si="632">IF(Y128&gt;0,W128,S128)</f>
        <v>0</v>
      </c>
      <c r="AF128" s="22">
        <f t="shared" si="314"/>
        <v>0</v>
      </c>
      <c r="AG128" s="108">
        <f t="shared" si="315"/>
        <v>82</v>
      </c>
      <c r="AH128" s="108">
        <f t="shared" si="316"/>
        <v>0</v>
      </c>
      <c r="AI128" s="127">
        <f t="shared" si="317"/>
        <v>27</v>
      </c>
      <c r="AJ128" s="108">
        <f t="shared" si="318"/>
        <v>0</v>
      </c>
      <c r="AM128" s="108">
        <f t="shared" si="319"/>
        <v>82.22</v>
      </c>
      <c r="AN128" s="108">
        <f t="shared" si="320"/>
        <v>0</v>
      </c>
      <c r="AO128" s="116"/>
      <c r="AP128" s="116"/>
      <c r="AQ128" s="116">
        <f t="shared" si="321"/>
        <v>164.22</v>
      </c>
      <c r="AR128" s="138">
        <f t="shared" si="322"/>
        <v>0</v>
      </c>
      <c r="AS128" s="138"/>
      <c r="AT128" s="138"/>
      <c r="AU128" s="138">
        <f t="shared" si="497"/>
        <v>82.22</v>
      </c>
      <c r="AV128" s="138">
        <f>ROUND(AE128*25%,2)</f>
        <v>0</v>
      </c>
      <c r="AW128" s="138"/>
      <c r="AX128" s="138"/>
      <c r="AY128" s="108">
        <f t="shared" ref="AY128:AY190" si="633">+AQ128+AS128+AU128+AW128+AI128</f>
        <v>273.44</v>
      </c>
      <c r="AZ128" s="108">
        <f t="shared" ref="AZ128:AZ190" si="634">+AR128+AT128+AV128+AX128+AJ128</f>
        <v>0</v>
      </c>
      <c r="BA128" s="108">
        <f t="shared" ref="BA128:BA190" si="635">+AY128+AZ128</f>
        <v>273.44</v>
      </c>
      <c r="BB128" s="139">
        <v>238.59</v>
      </c>
      <c r="BD128" s="139">
        <f t="shared" ref="BD128:BD190" si="636">AY128-BB128</f>
        <v>34.849999999999994</v>
      </c>
      <c r="BE128" s="139">
        <f t="shared" ref="BE128:BE190" si="637">AZ128-BC128</f>
        <v>0</v>
      </c>
      <c r="BF128" s="139">
        <f t="shared" ref="BF128:BF190" si="638">ROUND(BB128/10*2,2)</f>
        <v>47.72</v>
      </c>
      <c r="BG128" s="139">
        <f t="shared" ref="BG128:BG190" si="639">ROUND(BC128/10*2,2)</f>
        <v>0</v>
      </c>
      <c r="BH128" s="108">
        <v>6.44</v>
      </c>
      <c r="BI128" s="108">
        <v>0</v>
      </c>
      <c r="BL128" s="108">
        <f t="shared" si="332"/>
        <v>279.88</v>
      </c>
      <c r="BM128" s="108">
        <f t="shared" si="335"/>
        <v>0</v>
      </c>
      <c r="BN128" s="108">
        <f t="shared" si="336"/>
        <v>279.88</v>
      </c>
      <c r="BO128" s="108">
        <v>263.72000000000003</v>
      </c>
      <c r="BP128" s="127"/>
      <c r="BQ128" s="108">
        <f t="shared" si="337"/>
        <v>16.159999999999968</v>
      </c>
      <c r="BR128" s="108">
        <f t="shared" si="338"/>
        <v>0</v>
      </c>
      <c r="BS128" s="108">
        <f t="shared" si="339"/>
        <v>23.97</v>
      </c>
      <c r="BT128" s="108">
        <f t="shared" si="340"/>
        <v>0</v>
      </c>
      <c r="BU128" s="108">
        <v>7.81</v>
      </c>
      <c r="BV128" s="108">
        <f t="shared" si="617"/>
        <v>0</v>
      </c>
      <c r="BW128" s="109">
        <v>8.5</v>
      </c>
      <c r="CA128" s="108">
        <v>296.19</v>
      </c>
      <c r="CB128" s="108">
        <v>0</v>
      </c>
      <c r="CC128">
        <v>325.81</v>
      </c>
      <c r="CD128">
        <v>0</v>
      </c>
      <c r="CE128" s="189">
        <v>27</v>
      </c>
      <c r="CF128" s="189">
        <v>0</v>
      </c>
      <c r="CG128" s="189">
        <f t="shared" si="341"/>
        <v>74.05</v>
      </c>
      <c r="CH128" s="189">
        <f t="shared" si="342"/>
        <v>0</v>
      </c>
      <c r="CI128" s="150"/>
      <c r="CJ128" s="150"/>
      <c r="CK128" s="150">
        <v>90</v>
      </c>
      <c r="CL128" s="150">
        <v>0</v>
      </c>
      <c r="CM128" s="150"/>
      <c r="CN128" s="150"/>
      <c r="CO128" s="150">
        <v>365</v>
      </c>
      <c r="CP128" s="150"/>
      <c r="CQ128" s="150">
        <f t="shared" si="343"/>
        <v>360</v>
      </c>
      <c r="CR128" s="150">
        <f t="shared" si="344"/>
        <v>0</v>
      </c>
      <c r="CS128" s="150">
        <f t="shared" si="345"/>
        <v>360</v>
      </c>
      <c r="CT128" s="150">
        <f t="shared" si="346"/>
        <v>0</v>
      </c>
      <c r="CU128" s="150">
        <f t="shared" ref="CU128:CU129" si="640">IF(CQ128&lt;CS128,CQ128,CS128)</f>
        <v>360</v>
      </c>
      <c r="CV128" s="150">
        <f t="shared" ref="CV128:CV129" si="641">IF(CR128&lt;CT128,CR128,CT128)</f>
        <v>0</v>
      </c>
      <c r="CW128" s="150">
        <f t="shared" si="349"/>
        <v>90</v>
      </c>
      <c r="CX128" s="150">
        <f t="shared" si="575"/>
        <v>0</v>
      </c>
      <c r="CY128" s="150"/>
      <c r="CZ128" s="150"/>
      <c r="DA128" s="150">
        <f t="shared" si="350"/>
        <v>207</v>
      </c>
      <c r="DB128" s="150">
        <f t="shared" si="351"/>
        <v>0</v>
      </c>
      <c r="DC128" s="150">
        <v>178.83</v>
      </c>
      <c r="DD128" s="150">
        <v>0</v>
      </c>
      <c r="DE128" s="150">
        <f t="shared" si="352"/>
        <v>28.169999999999987</v>
      </c>
      <c r="DF128" s="150">
        <f t="shared" si="353"/>
        <v>0</v>
      </c>
      <c r="DG128" s="150">
        <f t="shared" si="627"/>
        <v>73.33</v>
      </c>
      <c r="DH128" s="150">
        <f t="shared" si="627"/>
        <v>0</v>
      </c>
      <c r="DI128" s="150">
        <f t="shared" si="354"/>
        <v>45.160000000000011</v>
      </c>
      <c r="DJ128" s="150">
        <f>+DH128-DF128</f>
        <v>0</v>
      </c>
      <c r="DK128" s="104">
        <f t="shared" si="577"/>
        <v>41.169999999999973</v>
      </c>
      <c r="DL128" s="104">
        <f t="shared" si="578"/>
        <v>0</v>
      </c>
      <c r="DM128" s="104">
        <f t="shared" si="333"/>
        <v>107.83999999999999</v>
      </c>
      <c r="DN128" s="104">
        <f t="shared" si="334"/>
        <v>0</v>
      </c>
      <c r="DO128" s="104">
        <v>293.33</v>
      </c>
      <c r="DQ128" s="104">
        <v>375</v>
      </c>
    </row>
    <row r="129" spans="1:129" ht="18.75">
      <c r="A129" s="18">
        <v>30</v>
      </c>
      <c r="B129" s="18" t="s">
        <v>205</v>
      </c>
      <c r="C129" s="19" t="s">
        <v>85</v>
      </c>
      <c r="D129" s="20" t="s">
        <v>206</v>
      </c>
      <c r="E129" s="21" t="s">
        <v>171</v>
      </c>
      <c r="F129" s="81">
        <v>581</v>
      </c>
      <c r="G129" s="81">
        <v>49.92</v>
      </c>
      <c r="H129" s="81">
        <v>581</v>
      </c>
      <c r="I129" s="22">
        <v>49.92</v>
      </c>
      <c r="J129" s="88">
        <v>650</v>
      </c>
      <c r="K129" s="88">
        <v>0</v>
      </c>
      <c r="L129" s="88">
        <v>0</v>
      </c>
      <c r="M129" s="88">
        <f t="shared" si="628"/>
        <v>650</v>
      </c>
      <c r="N129" s="88">
        <v>0</v>
      </c>
      <c r="O129" s="88">
        <v>0</v>
      </c>
      <c r="P129" s="88">
        <v>0</v>
      </c>
      <c r="Q129" s="88">
        <f t="shared" si="629"/>
        <v>0</v>
      </c>
      <c r="R129" s="88">
        <f t="shared" si="630"/>
        <v>650</v>
      </c>
      <c r="S129" s="88">
        <v>0</v>
      </c>
      <c r="V129" s="22">
        <f t="shared" si="621"/>
        <v>614.87</v>
      </c>
      <c r="W129" s="22">
        <f t="shared" si="622"/>
        <v>51.55</v>
      </c>
      <c r="X129" s="22">
        <f t="shared" ref="X129:X192" si="642">R129-V129</f>
        <v>35.129999999999995</v>
      </c>
      <c r="Y129" s="22">
        <f t="shared" ref="Y129:Y192" si="643">S129-W129</f>
        <v>-51.55</v>
      </c>
      <c r="Z129" s="22">
        <v>614.87</v>
      </c>
      <c r="AA129" s="22"/>
      <c r="AB129" s="22">
        <f t="shared" ref="AB129:AB192" si="644">Z129+AA129</f>
        <v>614.87</v>
      </c>
      <c r="AC129" s="109">
        <f t="shared" ref="AC129:AC192" si="645">AD129-AB129</f>
        <v>0</v>
      </c>
      <c r="AD129" s="22">
        <f t="shared" si="631"/>
        <v>614.87</v>
      </c>
      <c r="AE129" s="22">
        <f t="shared" si="632"/>
        <v>0</v>
      </c>
      <c r="AF129" s="22">
        <f t="shared" ref="AF129:AF192" si="646">ROUND(S129*0.9022,2)</f>
        <v>0</v>
      </c>
      <c r="AG129" s="108">
        <f t="shared" ref="AG129:AG192" si="647">ROUND(AD129/4,0)</f>
        <v>154</v>
      </c>
      <c r="AH129" s="108">
        <f t="shared" ref="AH129:AH192" si="648">ROUND(AE129/4,0)</f>
        <v>0</v>
      </c>
      <c r="AI129" s="127">
        <f t="shared" ref="AI129:AI192" si="649">ROUND(AD129/12,0)</f>
        <v>51</v>
      </c>
      <c r="AJ129" s="108">
        <f t="shared" ref="AJ129:AJ192" si="650">ROUND(AE129/12,0)</f>
        <v>0</v>
      </c>
      <c r="AM129" s="108">
        <f t="shared" ref="AM129:AM192" si="651">ROUND(AD129*25%,2)</f>
        <v>153.72</v>
      </c>
      <c r="AN129" s="108">
        <f t="shared" ref="AN129:AN192" si="652">ROUND(AE129*24.35%,2)</f>
        <v>0</v>
      </c>
      <c r="AO129" s="116"/>
      <c r="AP129" s="116"/>
      <c r="AQ129" s="116">
        <f t="shared" ref="AQ129:AQ192" si="653">+AM129+AK129+AG129+AO129</f>
        <v>307.72000000000003</v>
      </c>
      <c r="AR129" s="116">
        <f t="shared" ref="AR129:AR192" si="654">+AN129+AL129+AH129+AP129</f>
        <v>0</v>
      </c>
      <c r="AS129" s="116"/>
      <c r="AT129" s="116"/>
      <c r="AU129" s="116">
        <f t="shared" si="497"/>
        <v>153.72</v>
      </c>
      <c r="AV129" s="116">
        <f t="shared" ref="AV129:AV130" si="655">ROUND(AE129*25%,2)</f>
        <v>0</v>
      </c>
      <c r="AW129" s="116"/>
      <c r="AX129" s="116"/>
      <c r="AY129" s="108">
        <f t="shared" si="633"/>
        <v>512.44000000000005</v>
      </c>
      <c r="AZ129" s="108">
        <f t="shared" si="634"/>
        <v>0</v>
      </c>
      <c r="BA129" s="108">
        <f t="shared" si="635"/>
        <v>512.44000000000005</v>
      </c>
      <c r="BB129" s="139">
        <v>506.37</v>
      </c>
      <c r="BD129" s="139">
        <f t="shared" si="636"/>
        <v>6.07000000000005</v>
      </c>
      <c r="BE129" s="139">
        <f t="shared" si="637"/>
        <v>0</v>
      </c>
      <c r="BF129" s="139">
        <f t="shared" si="638"/>
        <v>101.27</v>
      </c>
      <c r="BG129" s="139">
        <f t="shared" si="639"/>
        <v>0</v>
      </c>
      <c r="BH129" s="143">
        <v>63.78</v>
      </c>
      <c r="BI129" s="108">
        <v>0</v>
      </c>
      <c r="BL129" s="108">
        <f t="shared" si="332"/>
        <v>576.22</v>
      </c>
      <c r="BM129" s="108">
        <f t="shared" si="335"/>
        <v>0</v>
      </c>
      <c r="BN129" s="108">
        <f t="shared" si="336"/>
        <v>576.22</v>
      </c>
      <c r="BO129" s="108">
        <v>565</v>
      </c>
      <c r="BP129" s="127"/>
      <c r="BQ129" s="108">
        <f t="shared" si="337"/>
        <v>11.220000000000027</v>
      </c>
      <c r="BR129" s="108">
        <f t="shared" si="338"/>
        <v>0</v>
      </c>
      <c r="BS129" s="108">
        <f t="shared" si="339"/>
        <v>51.36</v>
      </c>
      <c r="BT129" s="108">
        <f t="shared" si="340"/>
        <v>0</v>
      </c>
      <c r="BU129" s="143">
        <f>45+18.78</f>
        <v>63.78</v>
      </c>
      <c r="BV129" s="143">
        <v>1.58</v>
      </c>
      <c r="BW129" s="143"/>
      <c r="BX129" s="143"/>
      <c r="BY129" s="143"/>
      <c r="BZ129" s="143"/>
      <c r="CA129" s="108">
        <v>640</v>
      </c>
      <c r="CB129" s="108">
        <v>1.58</v>
      </c>
      <c r="CC129">
        <v>704</v>
      </c>
      <c r="CD129">
        <v>1.82</v>
      </c>
      <c r="CE129" s="189">
        <v>59</v>
      </c>
      <c r="CF129" s="189">
        <v>0</v>
      </c>
      <c r="CG129" s="189">
        <f t="shared" si="341"/>
        <v>160</v>
      </c>
      <c r="CH129" s="189">
        <f t="shared" si="342"/>
        <v>0.4</v>
      </c>
      <c r="CI129" s="150"/>
      <c r="CJ129" s="150"/>
      <c r="CK129" s="150">
        <v>190</v>
      </c>
      <c r="CL129" s="150">
        <v>0</v>
      </c>
      <c r="CM129" s="150"/>
      <c r="CN129" s="150"/>
      <c r="CO129" s="150">
        <v>720</v>
      </c>
      <c r="CP129" s="150"/>
      <c r="CQ129" s="150">
        <f t="shared" si="343"/>
        <v>760</v>
      </c>
      <c r="CR129" s="150">
        <f t="shared" si="344"/>
        <v>0</v>
      </c>
      <c r="CS129" s="150">
        <f t="shared" si="345"/>
        <v>720</v>
      </c>
      <c r="CT129" s="150">
        <f t="shared" si="346"/>
        <v>0</v>
      </c>
      <c r="CU129" s="150">
        <f t="shared" si="640"/>
        <v>720</v>
      </c>
      <c r="CV129" s="150">
        <f t="shared" si="641"/>
        <v>0</v>
      </c>
      <c r="CW129" s="150">
        <f t="shared" si="349"/>
        <v>180</v>
      </c>
      <c r="CX129" s="150">
        <f t="shared" si="575"/>
        <v>0</v>
      </c>
      <c r="CY129" s="150"/>
      <c r="CZ129" s="150"/>
      <c r="DA129" s="150">
        <f t="shared" si="350"/>
        <v>429</v>
      </c>
      <c r="DB129" s="150">
        <f t="shared" si="351"/>
        <v>0</v>
      </c>
      <c r="DC129" s="150">
        <v>413.24</v>
      </c>
      <c r="DD129" s="150">
        <v>0</v>
      </c>
      <c r="DE129" s="150">
        <f t="shared" si="352"/>
        <v>15.759999999999991</v>
      </c>
      <c r="DF129" s="150">
        <f t="shared" si="353"/>
        <v>0</v>
      </c>
      <c r="DG129" s="150">
        <f t="shared" si="627"/>
        <v>180</v>
      </c>
      <c r="DH129" s="150">
        <f t="shared" si="627"/>
        <v>0</v>
      </c>
      <c r="DI129" s="150">
        <f t="shared" si="354"/>
        <v>164.24</v>
      </c>
      <c r="DJ129" s="150">
        <f>+DH129-DF129</f>
        <v>0</v>
      </c>
      <c r="DK129" s="104">
        <f t="shared" si="577"/>
        <v>162.76</v>
      </c>
      <c r="DL129" s="104">
        <f t="shared" si="578"/>
        <v>0</v>
      </c>
      <c r="DM129" s="104">
        <f t="shared" si="333"/>
        <v>126.75999999999999</v>
      </c>
      <c r="DN129" s="104">
        <f t="shared" si="334"/>
        <v>0</v>
      </c>
      <c r="DO129" s="104">
        <v>756</v>
      </c>
      <c r="DP129" s="104">
        <v>0</v>
      </c>
      <c r="DQ129" s="104">
        <v>900</v>
      </c>
      <c r="DR129" s="104">
        <v>20</v>
      </c>
    </row>
    <row r="130" spans="1:129" ht="18.75">
      <c r="A130" s="18">
        <v>31</v>
      </c>
      <c r="B130" s="18" t="s">
        <v>207</v>
      </c>
      <c r="C130" s="19" t="s">
        <v>208</v>
      </c>
      <c r="D130" s="20" t="s">
        <v>209</v>
      </c>
      <c r="E130" s="21" t="s">
        <v>210</v>
      </c>
      <c r="F130" s="81">
        <v>321.82</v>
      </c>
      <c r="G130" s="81">
        <v>0</v>
      </c>
      <c r="H130" s="81">
        <v>321.82</v>
      </c>
      <c r="I130" s="22">
        <v>0</v>
      </c>
      <c r="J130" s="88">
        <v>300</v>
      </c>
      <c r="K130" s="88">
        <v>0</v>
      </c>
      <c r="L130" s="88">
        <v>0</v>
      </c>
      <c r="M130" s="88">
        <f t="shared" si="628"/>
        <v>300</v>
      </c>
      <c r="N130" s="88">
        <v>0</v>
      </c>
      <c r="O130" s="88">
        <v>0</v>
      </c>
      <c r="P130" s="88">
        <v>0</v>
      </c>
      <c r="Q130" s="88">
        <f t="shared" si="629"/>
        <v>0</v>
      </c>
      <c r="R130" s="88">
        <f t="shared" si="630"/>
        <v>300</v>
      </c>
      <c r="S130" s="88">
        <v>0</v>
      </c>
      <c r="V130" s="22">
        <f t="shared" si="621"/>
        <v>340.58</v>
      </c>
      <c r="W130" s="22">
        <f t="shared" si="622"/>
        <v>0</v>
      </c>
      <c r="X130" s="22">
        <f t="shared" si="642"/>
        <v>-40.579999999999984</v>
      </c>
      <c r="Y130" s="22">
        <f t="shared" si="643"/>
        <v>0</v>
      </c>
      <c r="Z130" s="22">
        <v>300</v>
      </c>
      <c r="AA130" s="22"/>
      <c r="AB130" s="22">
        <f t="shared" si="644"/>
        <v>300</v>
      </c>
      <c r="AC130" s="109">
        <f t="shared" si="645"/>
        <v>0</v>
      </c>
      <c r="AD130" s="22">
        <f t="shared" si="631"/>
        <v>300</v>
      </c>
      <c r="AE130" s="22">
        <f t="shared" si="632"/>
        <v>0</v>
      </c>
      <c r="AF130" s="22">
        <f t="shared" si="646"/>
        <v>0</v>
      </c>
      <c r="AG130" s="108">
        <f t="shared" si="647"/>
        <v>75</v>
      </c>
      <c r="AH130" s="108">
        <f t="shared" si="648"/>
        <v>0</v>
      </c>
      <c r="AI130" s="127">
        <f t="shared" si="649"/>
        <v>25</v>
      </c>
      <c r="AJ130" s="108">
        <f t="shared" si="650"/>
        <v>0</v>
      </c>
      <c r="AM130" s="108">
        <f t="shared" si="651"/>
        <v>75</v>
      </c>
      <c r="AN130" s="108">
        <f t="shared" si="652"/>
        <v>0</v>
      </c>
      <c r="AO130" s="116"/>
      <c r="AP130" s="116"/>
      <c r="AQ130" s="116">
        <f t="shared" si="653"/>
        <v>150</v>
      </c>
      <c r="AR130" s="116">
        <f t="shared" si="654"/>
        <v>0</v>
      </c>
      <c r="AS130" s="116"/>
      <c r="AT130" s="116"/>
      <c r="AU130" s="116">
        <f t="shared" si="497"/>
        <v>75</v>
      </c>
      <c r="AV130" s="116">
        <f t="shared" si="655"/>
        <v>0</v>
      </c>
      <c r="AW130" s="116"/>
      <c r="AX130" s="116"/>
      <c r="AY130" s="108">
        <f t="shared" si="633"/>
        <v>250</v>
      </c>
      <c r="AZ130" s="108">
        <f t="shared" si="634"/>
        <v>0</v>
      </c>
      <c r="BA130" s="108">
        <f t="shared" si="635"/>
        <v>250</v>
      </c>
      <c r="BB130" s="139">
        <v>223.24</v>
      </c>
      <c r="BD130" s="139">
        <f t="shared" si="636"/>
        <v>26.759999999999991</v>
      </c>
      <c r="BE130" s="139">
        <f t="shared" si="637"/>
        <v>0</v>
      </c>
      <c r="BF130" s="139">
        <f t="shared" si="638"/>
        <v>44.65</v>
      </c>
      <c r="BG130" s="139">
        <f t="shared" si="639"/>
        <v>0</v>
      </c>
      <c r="BH130" s="108">
        <v>8.9499999999999993</v>
      </c>
      <c r="BI130" s="108">
        <v>0</v>
      </c>
      <c r="BL130" s="108">
        <f t="shared" si="332"/>
        <v>258.95</v>
      </c>
      <c r="BM130" s="108">
        <f t="shared" si="335"/>
        <v>0</v>
      </c>
      <c r="BN130" s="108">
        <f t="shared" si="336"/>
        <v>258.95</v>
      </c>
      <c r="BO130" s="108">
        <v>240.88</v>
      </c>
      <c r="BP130" s="127"/>
      <c r="BQ130" s="108">
        <f t="shared" si="337"/>
        <v>18.069999999999993</v>
      </c>
      <c r="BR130" s="108">
        <f t="shared" si="338"/>
        <v>0</v>
      </c>
      <c r="BS130" s="108">
        <f t="shared" si="339"/>
        <v>21.9</v>
      </c>
      <c r="BT130" s="108">
        <f t="shared" si="340"/>
        <v>0</v>
      </c>
      <c r="BU130" s="108">
        <v>3.83</v>
      </c>
      <c r="BV130" s="108">
        <f>ROUND(BT130-BR130,2)</f>
        <v>0</v>
      </c>
      <c r="CA130" s="108">
        <v>262.77999999999997</v>
      </c>
      <c r="CB130" s="108">
        <v>0</v>
      </c>
      <c r="CC130">
        <v>289.06</v>
      </c>
      <c r="CD130">
        <v>0</v>
      </c>
      <c r="CE130" s="189">
        <v>24</v>
      </c>
      <c r="CF130" s="189">
        <v>0</v>
      </c>
      <c r="CG130" s="189">
        <f t="shared" si="341"/>
        <v>65.7</v>
      </c>
      <c r="CH130" s="189">
        <f t="shared" si="342"/>
        <v>0</v>
      </c>
      <c r="CI130" s="150"/>
      <c r="CJ130" s="150"/>
      <c r="CK130" s="150">
        <v>72</v>
      </c>
      <c r="CL130" s="150">
        <v>0</v>
      </c>
      <c r="CM130" s="150"/>
      <c r="CN130" s="150"/>
      <c r="CO130" s="150">
        <v>300</v>
      </c>
      <c r="CP130" s="150"/>
      <c r="CQ130" s="150">
        <f t="shared" si="343"/>
        <v>288</v>
      </c>
      <c r="CR130" s="150">
        <f t="shared" si="344"/>
        <v>0</v>
      </c>
      <c r="CS130" s="150">
        <f t="shared" si="345"/>
        <v>288</v>
      </c>
      <c r="CT130" s="150">
        <f t="shared" si="346"/>
        <v>0</v>
      </c>
      <c r="CU130" s="150">
        <v>288</v>
      </c>
      <c r="CV130" s="150">
        <v>12.04</v>
      </c>
      <c r="CW130" s="150">
        <f t="shared" si="349"/>
        <v>72</v>
      </c>
      <c r="CX130" s="150">
        <f t="shared" si="575"/>
        <v>3.01</v>
      </c>
      <c r="CY130" s="150"/>
      <c r="CZ130" s="150"/>
      <c r="DA130" s="150">
        <f t="shared" si="350"/>
        <v>168</v>
      </c>
      <c r="DB130" s="150">
        <f t="shared" si="351"/>
        <v>3.01</v>
      </c>
      <c r="DC130" s="150">
        <v>138.4</v>
      </c>
      <c r="DD130" s="150">
        <v>0</v>
      </c>
      <c r="DE130" s="150">
        <f t="shared" si="352"/>
        <v>29.599999999999994</v>
      </c>
      <c r="DF130" s="150">
        <f t="shared" si="353"/>
        <v>3.01</v>
      </c>
      <c r="DG130" s="150">
        <f t="shared" si="627"/>
        <v>71.8</v>
      </c>
      <c r="DH130" s="150">
        <f t="shared" si="627"/>
        <v>3.01</v>
      </c>
      <c r="DI130" s="150">
        <f t="shared" si="354"/>
        <v>42.2</v>
      </c>
      <c r="DJ130" s="150">
        <f>+DH130-DF130</f>
        <v>0</v>
      </c>
      <c r="DK130" s="104">
        <f t="shared" si="577"/>
        <v>77.000000000000043</v>
      </c>
      <c r="DL130" s="104">
        <f t="shared" si="578"/>
        <v>91.99</v>
      </c>
      <c r="DM130" s="104">
        <f t="shared" si="333"/>
        <v>77.8</v>
      </c>
      <c r="DN130" s="104">
        <f t="shared" si="334"/>
        <v>9.0299999999999994</v>
      </c>
      <c r="DO130" s="104">
        <v>287.20000000000005</v>
      </c>
      <c r="DP130" s="104">
        <v>95</v>
      </c>
      <c r="DQ130" s="104">
        <v>0</v>
      </c>
      <c r="DR130" s="104">
        <v>0</v>
      </c>
    </row>
    <row r="131" spans="1:129" ht="37.5">
      <c r="A131" s="18">
        <v>32</v>
      </c>
      <c r="B131" s="18" t="s">
        <v>211</v>
      </c>
      <c r="C131" s="19" t="s">
        <v>13</v>
      </c>
      <c r="D131" s="20" t="s">
        <v>212</v>
      </c>
      <c r="E131" s="21" t="s">
        <v>213</v>
      </c>
      <c r="F131" s="81">
        <v>340.61</v>
      </c>
      <c r="G131" s="81">
        <v>36.32</v>
      </c>
      <c r="H131" s="81">
        <v>340.61</v>
      </c>
      <c r="I131" s="22">
        <v>36.32</v>
      </c>
      <c r="J131" s="88">
        <v>416.11</v>
      </c>
      <c r="K131" s="88">
        <v>0</v>
      </c>
      <c r="L131" s="88">
        <v>0</v>
      </c>
      <c r="M131" s="88">
        <f t="shared" si="628"/>
        <v>416.11</v>
      </c>
      <c r="N131" s="88">
        <v>0</v>
      </c>
      <c r="O131" s="88">
        <v>0</v>
      </c>
      <c r="P131" s="88">
        <v>0</v>
      </c>
      <c r="Q131" s="88">
        <f t="shared" si="629"/>
        <v>0</v>
      </c>
      <c r="R131" s="88">
        <f t="shared" si="630"/>
        <v>416.11</v>
      </c>
      <c r="S131" s="88">
        <v>36.450000000000003</v>
      </c>
      <c r="V131" s="22">
        <f t="shared" si="621"/>
        <v>360.47</v>
      </c>
      <c r="W131" s="22">
        <f t="shared" si="622"/>
        <v>37.51</v>
      </c>
      <c r="X131" s="22">
        <f t="shared" si="642"/>
        <v>55.639999999999986</v>
      </c>
      <c r="Y131" s="22">
        <f t="shared" si="643"/>
        <v>-1.0599999999999952</v>
      </c>
      <c r="Z131" s="22">
        <v>360.47</v>
      </c>
      <c r="AA131" s="22"/>
      <c r="AB131" s="22">
        <f t="shared" si="644"/>
        <v>360.47</v>
      </c>
      <c r="AC131" s="109">
        <f t="shared" si="645"/>
        <v>0</v>
      </c>
      <c r="AD131" s="22">
        <f t="shared" si="631"/>
        <v>360.47</v>
      </c>
      <c r="AE131" s="22">
        <f t="shared" si="632"/>
        <v>36.450000000000003</v>
      </c>
      <c r="AF131" s="22">
        <f t="shared" si="646"/>
        <v>32.89</v>
      </c>
      <c r="AG131" s="108">
        <f t="shared" si="647"/>
        <v>90</v>
      </c>
      <c r="AH131" s="108">
        <f t="shared" si="648"/>
        <v>9</v>
      </c>
      <c r="AI131" s="127">
        <f t="shared" si="649"/>
        <v>30</v>
      </c>
      <c r="AJ131" s="108">
        <f t="shared" si="650"/>
        <v>3</v>
      </c>
      <c r="AK131" s="143">
        <v>9</v>
      </c>
      <c r="AM131" s="108">
        <f t="shared" si="651"/>
        <v>90.12</v>
      </c>
      <c r="AN131" s="108">
        <f t="shared" si="652"/>
        <v>8.8800000000000008</v>
      </c>
      <c r="AO131" s="116"/>
      <c r="AP131" s="116"/>
      <c r="AQ131" s="116">
        <f t="shared" si="653"/>
        <v>189.12</v>
      </c>
      <c r="AR131" s="116">
        <f t="shared" si="654"/>
        <v>17.880000000000003</v>
      </c>
      <c r="AS131" s="116">
        <v>20.14</v>
      </c>
      <c r="AT131" s="116"/>
      <c r="AU131" s="138">
        <f t="shared" si="497"/>
        <v>90.12</v>
      </c>
      <c r="AV131" s="138">
        <v>0</v>
      </c>
      <c r="AW131" s="142">
        <v>44.66</v>
      </c>
      <c r="AX131" s="138"/>
      <c r="AY131" s="108">
        <f t="shared" si="633"/>
        <v>374.03999999999996</v>
      </c>
      <c r="AZ131" s="108">
        <f t="shared" si="634"/>
        <v>20.880000000000003</v>
      </c>
      <c r="BA131" s="108">
        <f t="shared" si="635"/>
        <v>394.91999999999996</v>
      </c>
      <c r="BB131" s="139">
        <v>371.17</v>
      </c>
      <c r="BD131" s="139">
        <f t="shared" si="636"/>
        <v>2.8699999999999477</v>
      </c>
      <c r="BE131" s="139">
        <f t="shared" si="637"/>
        <v>20.880000000000003</v>
      </c>
      <c r="BF131" s="139">
        <f t="shared" si="638"/>
        <v>74.23</v>
      </c>
      <c r="BG131" s="139">
        <f t="shared" si="639"/>
        <v>0</v>
      </c>
      <c r="BH131" s="108">
        <v>35.68</v>
      </c>
      <c r="BI131" s="108">
        <v>0</v>
      </c>
      <c r="BJ131" s="108">
        <v>7</v>
      </c>
      <c r="BL131" s="108">
        <f t="shared" si="332"/>
        <v>416.71999999999997</v>
      </c>
      <c r="BM131" s="108">
        <f t="shared" si="335"/>
        <v>20.880000000000003</v>
      </c>
      <c r="BN131" s="108">
        <f t="shared" si="336"/>
        <v>437.59999999999997</v>
      </c>
      <c r="BO131" s="108">
        <v>411.23</v>
      </c>
      <c r="BP131" s="127"/>
      <c r="BQ131" s="108">
        <f t="shared" si="337"/>
        <v>5.4899999999999523</v>
      </c>
      <c r="BR131" s="108">
        <f t="shared" si="338"/>
        <v>20.880000000000003</v>
      </c>
      <c r="BS131" s="108">
        <f t="shared" si="339"/>
        <v>37.380000000000003</v>
      </c>
      <c r="BT131" s="108">
        <f t="shared" si="340"/>
        <v>0</v>
      </c>
      <c r="BU131" s="108">
        <v>31.89</v>
      </c>
      <c r="BV131" s="108">
        <v>0</v>
      </c>
      <c r="BW131" s="109">
        <v>10</v>
      </c>
      <c r="BY131" s="108">
        <v>20.88</v>
      </c>
      <c r="CA131" s="108">
        <v>458.60999999999996</v>
      </c>
      <c r="CB131" s="108">
        <v>0</v>
      </c>
      <c r="CC131">
        <v>504.47</v>
      </c>
      <c r="CD131">
        <v>0</v>
      </c>
      <c r="CE131" s="189">
        <v>42</v>
      </c>
      <c r="CF131" s="189">
        <v>0</v>
      </c>
      <c r="CG131" s="189">
        <f t="shared" si="341"/>
        <v>114.65</v>
      </c>
      <c r="CH131" s="189">
        <f t="shared" si="342"/>
        <v>0</v>
      </c>
      <c r="CI131" s="150"/>
      <c r="CJ131" s="150"/>
      <c r="CK131" s="150">
        <v>136</v>
      </c>
      <c r="CL131" s="150">
        <v>0</v>
      </c>
      <c r="CM131" s="150"/>
      <c r="CN131" s="150"/>
      <c r="CO131" s="150">
        <v>500</v>
      </c>
      <c r="CP131" s="150"/>
      <c r="CQ131" s="150">
        <f t="shared" si="343"/>
        <v>544</v>
      </c>
      <c r="CR131" s="150">
        <f t="shared" si="344"/>
        <v>0</v>
      </c>
      <c r="CS131" s="150">
        <f t="shared" si="345"/>
        <v>500</v>
      </c>
      <c r="CT131" s="150">
        <f t="shared" si="346"/>
        <v>0</v>
      </c>
      <c r="CU131" s="150">
        <v>500</v>
      </c>
      <c r="CV131" s="150">
        <v>0</v>
      </c>
      <c r="CW131" s="150">
        <f t="shared" si="349"/>
        <v>125</v>
      </c>
      <c r="CX131" s="150">
        <f t="shared" si="575"/>
        <v>0</v>
      </c>
      <c r="CY131" s="150"/>
      <c r="CZ131" s="150"/>
      <c r="DA131" s="150">
        <f t="shared" si="350"/>
        <v>303</v>
      </c>
      <c r="DB131" s="150">
        <f t="shared" si="351"/>
        <v>0</v>
      </c>
      <c r="DC131" s="150">
        <v>302.08</v>
      </c>
      <c r="DD131" s="150">
        <v>0</v>
      </c>
      <c r="DE131" s="150">
        <f t="shared" si="352"/>
        <v>0.92000000000001592</v>
      </c>
      <c r="DF131" s="150">
        <f t="shared" si="353"/>
        <v>0</v>
      </c>
      <c r="DG131" s="150">
        <f t="shared" si="627"/>
        <v>125</v>
      </c>
      <c r="DH131" s="150">
        <f t="shared" si="627"/>
        <v>0</v>
      </c>
      <c r="DI131" s="150">
        <f t="shared" si="354"/>
        <v>124.07999999999998</v>
      </c>
      <c r="DJ131" s="150">
        <f>+DH131-DF131</f>
        <v>0</v>
      </c>
      <c r="DK131" s="104">
        <f t="shared" si="577"/>
        <v>234.65000000000003</v>
      </c>
      <c r="DL131" s="104">
        <f t="shared" si="578"/>
        <v>0</v>
      </c>
      <c r="DM131" s="104">
        <f t="shared" si="333"/>
        <v>72.920000000000016</v>
      </c>
      <c r="DN131" s="104">
        <f t="shared" si="334"/>
        <v>0</v>
      </c>
      <c r="DO131" s="104">
        <v>661.73</v>
      </c>
      <c r="DP131" s="104">
        <v>0</v>
      </c>
      <c r="DQ131" s="104">
        <v>630</v>
      </c>
      <c r="DR131" s="104">
        <v>0</v>
      </c>
    </row>
    <row r="132" spans="1:129" ht="18.75">
      <c r="A132" s="13">
        <v>33</v>
      </c>
      <c r="B132" s="13"/>
      <c r="C132" s="14"/>
      <c r="D132" s="15" t="s">
        <v>214</v>
      </c>
      <c r="E132" s="16"/>
      <c r="F132" s="81">
        <v>355.52000000000004</v>
      </c>
      <c r="G132" s="81">
        <v>0</v>
      </c>
      <c r="H132" s="81">
        <v>355.52000000000004</v>
      </c>
      <c r="I132" s="17">
        <v>0</v>
      </c>
      <c r="J132" s="86">
        <v>480</v>
      </c>
      <c r="K132" s="87">
        <v>0</v>
      </c>
      <c r="L132" s="87">
        <v>0</v>
      </c>
      <c r="M132" s="87">
        <f t="shared" si="628"/>
        <v>480</v>
      </c>
      <c r="N132" s="87">
        <v>0</v>
      </c>
      <c r="O132" s="87">
        <v>0</v>
      </c>
      <c r="P132" s="87">
        <v>0</v>
      </c>
      <c r="Q132" s="87">
        <f t="shared" si="629"/>
        <v>0</v>
      </c>
      <c r="R132" s="87">
        <f t="shared" si="630"/>
        <v>480</v>
      </c>
      <c r="S132" s="87">
        <v>0</v>
      </c>
      <c r="V132" s="17">
        <f t="shared" si="621"/>
        <v>376.25</v>
      </c>
      <c r="W132" s="17">
        <f t="shared" si="622"/>
        <v>0</v>
      </c>
      <c r="X132" s="108">
        <f t="shared" si="642"/>
        <v>103.75</v>
      </c>
      <c r="Y132" s="108">
        <f t="shared" si="643"/>
        <v>0</v>
      </c>
      <c r="Z132" s="108">
        <v>376.25</v>
      </c>
      <c r="AA132" s="108"/>
      <c r="AB132" s="108">
        <f t="shared" si="644"/>
        <v>376.25</v>
      </c>
      <c r="AC132" s="109">
        <f t="shared" si="645"/>
        <v>0</v>
      </c>
      <c r="AD132" s="108">
        <f t="shared" si="631"/>
        <v>376.25</v>
      </c>
      <c r="AE132" s="108">
        <f t="shared" si="632"/>
        <v>0</v>
      </c>
      <c r="AF132" s="108">
        <f t="shared" si="646"/>
        <v>0</v>
      </c>
      <c r="AG132" s="108">
        <f t="shared" si="647"/>
        <v>94</v>
      </c>
      <c r="AH132" s="108">
        <f t="shared" si="648"/>
        <v>0</v>
      </c>
      <c r="AI132" s="127">
        <f t="shared" si="649"/>
        <v>31</v>
      </c>
      <c r="AJ132" s="108">
        <f t="shared" si="650"/>
        <v>0</v>
      </c>
      <c r="AM132" s="108">
        <f t="shared" si="651"/>
        <v>94.06</v>
      </c>
      <c r="AN132" s="108">
        <f t="shared" si="652"/>
        <v>0</v>
      </c>
      <c r="AO132" s="116"/>
      <c r="AP132" s="116"/>
      <c r="AQ132" s="116">
        <f t="shared" si="653"/>
        <v>188.06</v>
      </c>
      <c r="AR132" s="116">
        <f t="shared" si="654"/>
        <v>0</v>
      </c>
      <c r="AS132" s="116"/>
      <c r="AT132" s="116"/>
      <c r="AU132" s="116">
        <f t="shared" si="497"/>
        <v>94.06</v>
      </c>
      <c r="AV132" s="116">
        <f>ROUND(AE132*25%,2)</f>
        <v>0</v>
      </c>
      <c r="AW132" s="143">
        <v>80</v>
      </c>
      <c r="AX132" s="116"/>
      <c r="AY132" s="108">
        <f t="shared" si="633"/>
        <v>393.12</v>
      </c>
      <c r="AZ132" s="108">
        <f t="shared" si="634"/>
        <v>0</v>
      </c>
      <c r="BA132" s="108">
        <f t="shared" si="635"/>
        <v>393.12</v>
      </c>
      <c r="BB132" s="139">
        <v>390.88</v>
      </c>
      <c r="BD132" s="139">
        <f t="shared" si="636"/>
        <v>2.2400000000000091</v>
      </c>
      <c r="BE132" s="139">
        <f t="shared" si="637"/>
        <v>0</v>
      </c>
      <c r="BF132" s="139">
        <f t="shared" si="638"/>
        <v>78.180000000000007</v>
      </c>
      <c r="BG132" s="139">
        <f t="shared" si="639"/>
        <v>0</v>
      </c>
      <c r="BH132" s="108">
        <v>37.97</v>
      </c>
      <c r="BI132" s="108">
        <v>0</v>
      </c>
      <c r="BL132" s="108">
        <f t="shared" si="332"/>
        <v>431.09000000000003</v>
      </c>
      <c r="BM132" s="108">
        <f t="shared" si="335"/>
        <v>0</v>
      </c>
      <c r="BN132" s="108">
        <f t="shared" si="336"/>
        <v>431.09000000000003</v>
      </c>
      <c r="BO132" s="108">
        <v>437.1</v>
      </c>
      <c r="BP132" s="127"/>
      <c r="BQ132" s="108">
        <f t="shared" si="337"/>
        <v>-6.0099999999999909</v>
      </c>
      <c r="BR132" s="108">
        <f t="shared" si="338"/>
        <v>0</v>
      </c>
      <c r="BS132" s="108">
        <f t="shared" si="339"/>
        <v>39.74</v>
      </c>
      <c r="BT132" s="108">
        <f t="shared" si="340"/>
        <v>0</v>
      </c>
      <c r="BU132" s="143">
        <v>58.5</v>
      </c>
      <c r="BV132" s="108">
        <f t="shared" ref="BV132:BV133" si="656">ROUND(BT132-BR132,2)</f>
        <v>0</v>
      </c>
      <c r="CA132" s="108">
        <v>489.59000000000003</v>
      </c>
      <c r="CB132" s="108">
        <v>0</v>
      </c>
      <c r="CC132">
        <v>538.54999999999995</v>
      </c>
      <c r="CD132">
        <v>0</v>
      </c>
      <c r="CE132" s="189">
        <v>45</v>
      </c>
      <c r="CF132" s="189">
        <v>0</v>
      </c>
      <c r="CG132" s="189">
        <f t="shared" si="341"/>
        <v>122.4</v>
      </c>
      <c r="CH132" s="189">
        <f t="shared" si="342"/>
        <v>0</v>
      </c>
      <c r="CI132" s="150"/>
      <c r="CJ132" s="150"/>
      <c r="CK132" s="150">
        <v>150</v>
      </c>
      <c r="CL132" s="150">
        <v>38.54</v>
      </c>
      <c r="CM132" s="150"/>
      <c r="CN132" s="150"/>
      <c r="CO132" s="150">
        <v>550</v>
      </c>
      <c r="CP132" s="150">
        <v>38.54</v>
      </c>
      <c r="CQ132" s="150">
        <f t="shared" si="343"/>
        <v>600</v>
      </c>
      <c r="CR132" s="150">
        <f t="shared" si="344"/>
        <v>154.16</v>
      </c>
      <c r="CS132" s="150">
        <f t="shared" si="345"/>
        <v>550</v>
      </c>
      <c r="CT132" s="150">
        <f t="shared" si="346"/>
        <v>38.54</v>
      </c>
      <c r="CU132" s="150">
        <v>550</v>
      </c>
      <c r="CV132" s="150">
        <v>38.54</v>
      </c>
      <c r="CW132" s="150">
        <f t="shared" si="349"/>
        <v>137.5</v>
      </c>
      <c r="CX132" s="150">
        <f>ROUND(CV132*25%,2)-9.64</f>
        <v>0</v>
      </c>
      <c r="CY132" s="150"/>
      <c r="CZ132" s="150"/>
      <c r="DA132" s="150">
        <f t="shared" si="350"/>
        <v>332.5</v>
      </c>
      <c r="DB132" s="150">
        <f t="shared" si="351"/>
        <v>38.54</v>
      </c>
      <c r="DC132" s="150">
        <v>332.06</v>
      </c>
      <c r="DD132" s="150">
        <v>38.54</v>
      </c>
      <c r="DE132" s="150">
        <f t="shared" si="352"/>
        <v>0.43999999999999773</v>
      </c>
      <c r="DF132" s="150">
        <f t="shared" si="353"/>
        <v>0</v>
      </c>
      <c r="DG132" s="150">
        <f t="shared" si="627"/>
        <v>137.5</v>
      </c>
      <c r="DH132" s="150">
        <f t="shared" si="627"/>
        <v>9.64</v>
      </c>
      <c r="DI132" s="150">
        <f t="shared" si="354"/>
        <v>137.06</v>
      </c>
      <c r="DJ132" s="150">
        <f>+DH132-DF132-9.64</f>
        <v>0</v>
      </c>
      <c r="DK132" s="104">
        <f t="shared" si="577"/>
        <v>100.44</v>
      </c>
      <c r="DL132" s="104">
        <f t="shared" si="578"/>
        <v>0</v>
      </c>
      <c r="DM132" s="104">
        <f t="shared" si="333"/>
        <v>80.44</v>
      </c>
      <c r="DN132" s="104">
        <f t="shared" si="334"/>
        <v>0</v>
      </c>
      <c r="DO132" s="104">
        <v>570</v>
      </c>
      <c r="DP132" s="104">
        <v>38.54</v>
      </c>
      <c r="DQ132" s="104">
        <v>600</v>
      </c>
      <c r="DR132" s="104">
        <v>100</v>
      </c>
    </row>
    <row r="133" spans="1:129" ht="37.5">
      <c r="A133" s="13">
        <v>34</v>
      </c>
      <c r="B133" s="13"/>
      <c r="C133" s="14"/>
      <c r="D133" s="15" t="s">
        <v>215</v>
      </c>
      <c r="E133" s="16"/>
      <c r="F133" s="81">
        <v>601.11</v>
      </c>
      <c r="G133" s="81">
        <v>0</v>
      </c>
      <c r="H133" s="81">
        <v>601.11</v>
      </c>
      <c r="I133" s="17">
        <v>0</v>
      </c>
      <c r="J133" s="86">
        <v>630</v>
      </c>
      <c r="K133" s="87">
        <v>0</v>
      </c>
      <c r="L133" s="87">
        <v>0</v>
      </c>
      <c r="M133" s="87">
        <f t="shared" si="628"/>
        <v>630</v>
      </c>
      <c r="N133" s="87">
        <v>0</v>
      </c>
      <c r="O133" s="87">
        <v>0</v>
      </c>
      <c r="P133" s="87">
        <v>0</v>
      </c>
      <c r="Q133" s="87">
        <f t="shared" si="629"/>
        <v>0</v>
      </c>
      <c r="R133" s="87">
        <f t="shared" si="630"/>
        <v>630</v>
      </c>
      <c r="S133" s="87">
        <v>0</v>
      </c>
      <c r="V133" s="17">
        <f t="shared" ref="V133" si="657">ROUND(H133*1.0583,2)</f>
        <v>636.15</v>
      </c>
      <c r="W133" s="17">
        <f t="shared" ref="W133" si="658">ROUND(I133*1.0327,2)</f>
        <v>0</v>
      </c>
      <c r="X133" s="108">
        <f t="shared" si="642"/>
        <v>-6.1499999999999773</v>
      </c>
      <c r="Y133" s="108">
        <f t="shared" si="643"/>
        <v>0</v>
      </c>
      <c r="Z133" s="108">
        <v>630</v>
      </c>
      <c r="AA133" s="108"/>
      <c r="AB133" s="108">
        <f t="shared" si="644"/>
        <v>630</v>
      </c>
      <c r="AC133" s="109">
        <f t="shared" si="645"/>
        <v>0</v>
      </c>
      <c r="AD133" s="108">
        <f t="shared" ref="AD133" si="659">IF(X133&gt;0,V133,R133)</f>
        <v>630</v>
      </c>
      <c r="AE133" s="108">
        <f t="shared" ref="AE133" si="660">IF(Y133&gt;0,W133,S133)</f>
        <v>0</v>
      </c>
      <c r="AF133" s="108">
        <f t="shared" si="646"/>
        <v>0</v>
      </c>
      <c r="AG133" s="108">
        <f t="shared" si="647"/>
        <v>158</v>
      </c>
      <c r="AH133" s="108">
        <f t="shared" si="648"/>
        <v>0</v>
      </c>
      <c r="AI133" s="127">
        <f t="shared" si="649"/>
        <v>53</v>
      </c>
      <c r="AJ133" s="108">
        <f t="shared" si="650"/>
        <v>0</v>
      </c>
      <c r="AM133" s="108">
        <f t="shared" si="651"/>
        <v>157.5</v>
      </c>
      <c r="AN133" s="108">
        <f t="shared" si="652"/>
        <v>0</v>
      </c>
      <c r="AO133" s="116"/>
      <c r="AP133" s="116"/>
      <c r="AQ133" s="116">
        <f t="shared" si="653"/>
        <v>315.5</v>
      </c>
      <c r="AR133" s="116">
        <f t="shared" si="654"/>
        <v>0</v>
      </c>
      <c r="AS133" s="116"/>
      <c r="AT133" s="116"/>
      <c r="AU133" s="116">
        <f t="shared" si="497"/>
        <v>157.5</v>
      </c>
      <c r="AV133" s="116">
        <f t="shared" ref="AV133:AV155" si="661">ROUND(AE133*25%,2)</f>
        <v>0</v>
      </c>
      <c r="AW133" s="116"/>
      <c r="AX133" s="116"/>
      <c r="AY133" s="108">
        <f t="shared" si="633"/>
        <v>526</v>
      </c>
      <c r="AZ133" s="108">
        <f t="shared" si="634"/>
        <v>0</v>
      </c>
      <c r="BA133" s="108">
        <f t="shared" si="635"/>
        <v>526</v>
      </c>
      <c r="BB133" s="139">
        <v>424</v>
      </c>
      <c r="BD133" s="139">
        <f t="shared" si="636"/>
        <v>102</v>
      </c>
      <c r="BE133" s="139">
        <f t="shared" si="637"/>
        <v>0</v>
      </c>
      <c r="BF133" s="139">
        <f t="shared" si="638"/>
        <v>84.8</v>
      </c>
      <c r="BG133" s="139">
        <f t="shared" si="639"/>
        <v>0</v>
      </c>
      <c r="BH133" s="108">
        <v>0</v>
      </c>
      <c r="BI133" s="108">
        <v>0</v>
      </c>
      <c r="BL133" s="108">
        <f t="shared" ref="BL133:BL196" si="662">+BH133+AY133+BJ133</f>
        <v>526</v>
      </c>
      <c r="BM133" s="108">
        <f t="shared" si="335"/>
        <v>0</v>
      </c>
      <c r="BN133" s="108">
        <f t="shared" si="336"/>
        <v>526</v>
      </c>
      <c r="BO133" s="108">
        <v>424</v>
      </c>
      <c r="BP133" s="127"/>
      <c r="BQ133" s="108">
        <f t="shared" si="337"/>
        <v>102</v>
      </c>
      <c r="BR133" s="108">
        <f t="shared" si="338"/>
        <v>0</v>
      </c>
      <c r="BS133" s="108">
        <f t="shared" si="339"/>
        <v>38.549999999999997</v>
      </c>
      <c r="BT133" s="108">
        <f t="shared" si="340"/>
        <v>0</v>
      </c>
      <c r="BU133" s="143">
        <v>6</v>
      </c>
      <c r="BV133" s="108">
        <f t="shared" si="656"/>
        <v>0</v>
      </c>
      <c r="CA133" s="108">
        <v>532</v>
      </c>
      <c r="CB133" s="108">
        <v>0</v>
      </c>
      <c r="CC133">
        <v>585.20000000000005</v>
      </c>
      <c r="CD133">
        <v>0</v>
      </c>
      <c r="CE133" s="189">
        <v>49</v>
      </c>
      <c r="CF133" s="189">
        <v>0</v>
      </c>
      <c r="CG133" s="189">
        <f t="shared" si="341"/>
        <v>133</v>
      </c>
      <c r="CH133" s="189">
        <f t="shared" si="342"/>
        <v>0</v>
      </c>
      <c r="CI133" s="150"/>
      <c r="CJ133" s="150"/>
      <c r="CK133" s="150">
        <f>180-40</f>
        <v>140</v>
      </c>
      <c r="CL133" s="150">
        <v>0</v>
      </c>
      <c r="CM133" s="150"/>
      <c r="CN133" s="150"/>
      <c r="CO133" s="150">
        <v>610</v>
      </c>
      <c r="CP133" s="150"/>
      <c r="CQ133" s="150">
        <f t="shared" si="343"/>
        <v>560</v>
      </c>
      <c r="CR133" s="150">
        <f t="shared" si="344"/>
        <v>0</v>
      </c>
      <c r="CS133" s="150">
        <f t="shared" si="345"/>
        <v>560</v>
      </c>
      <c r="CT133" s="150">
        <f t="shared" si="346"/>
        <v>0</v>
      </c>
      <c r="CU133" s="150">
        <v>560</v>
      </c>
      <c r="CV133" s="150">
        <v>0</v>
      </c>
      <c r="CW133" s="150">
        <f t="shared" si="349"/>
        <v>140</v>
      </c>
      <c r="CX133" s="150">
        <f t="shared" si="575"/>
        <v>0</v>
      </c>
      <c r="CY133" s="150"/>
      <c r="CZ133" s="150"/>
      <c r="DA133" s="150">
        <f t="shared" si="350"/>
        <v>329</v>
      </c>
      <c r="DB133" s="150">
        <f t="shared" si="351"/>
        <v>0</v>
      </c>
      <c r="DC133" s="150">
        <v>329</v>
      </c>
      <c r="DD133" s="150">
        <v>0</v>
      </c>
      <c r="DE133" s="150">
        <f t="shared" si="352"/>
        <v>0</v>
      </c>
      <c r="DF133" s="150">
        <f t="shared" si="353"/>
        <v>0</v>
      </c>
      <c r="DG133" s="150">
        <f t="shared" si="627"/>
        <v>140</v>
      </c>
      <c r="DH133" s="150">
        <f t="shared" si="627"/>
        <v>0</v>
      </c>
      <c r="DI133" s="150">
        <f t="shared" si="354"/>
        <v>140</v>
      </c>
      <c r="DJ133" s="150">
        <f>+DH133-DF133</f>
        <v>0</v>
      </c>
      <c r="DK133" s="104">
        <f t="shared" si="577"/>
        <v>141</v>
      </c>
      <c r="DL133" s="104">
        <f t="shared" si="578"/>
        <v>0</v>
      </c>
      <c r="DM133" s="104">
        <f t="shared" ref="DM133:DM196" si="663">+CU133-DA133-DI133</f>
        <v>91</v>
      </c>
      <c r="DN133" s="104">
        <f t="shared" ref="DN133:DN196" si="664">+CV133-DB133-DJ133</f>
        <v>0</v>
      </c>
      <c r="DO133" s="104">
        <v>610</v>
      </c>
      <c r="DQ133" s="104">
        <v>650</v>
      </c>
    </row>
    <row r="134" spans="1:129" ht="37.5">
      <c r="A134" s="18"/>
      <c r="B134" s="18" t="s">
        <v>216</v>
      </c>
      <c r="C134" s="19" t="s">
        <v>13</v>
      </c>
      <c r="D134" s="20" t="s">
        <v>214</v>
      </c>
      <c r="E134" s="21" t="s">
        <v>217</v>
      </c>
      <c r="F134" s="22">
        <v>744.06000000000006</v>
      </c>
      <c r="G134" s="22">
        <v>0</v>
      </c>
      <c r="H134" s="22">
        <v>956.63000000000011</v>
      </c>
      <c r="I134" s="22">
        <v>0</v>
      </c>
      <c r="J134" s="88">
        <f t="shared" ref="J134:AA134" si="665">+J132+J133</f>
        <v>1110</v>
      </c>
      <c r="K134" s="88">
        <f t="shared" si="665"/>
        <v>0</v>
      </c>
      <c r="L134" s="88">
        <f t="shared" si="665"/>
        <v>0</v>
      </c>
      <c r="M134" s="88">
        <f t="shared" si="665"/>
        <v>1110</v>
      </c>
      <c r="N134" s="88">
        <f t="shared" si="665"/>
        <v>0</v>
      </c>
      <c r="O134" s="88">
        <f t="shared" si="665"/>
        <v>0</v>
      </c>
      <c r="P134" s="88">
        <f t="shared" si="665"/>
        <v>0</v>
      </c>
      <c r="Q134" s="88">
        <f t="shared" si="665"/>
        <v>0</v>
      </c>
      <c r="R134" s="88">
        <f t="shared" si="665"/>
        <v>1110</v>
      </c>
      <c r="S134" s="88">
        <f t="shared" si="665"/>
        <v>0</v>
      </c>
      <c r="T134" s="88">
        <f t="shared" si="665"/>
        <v>0</v>
      </c>
      <c r="U134" s="88">
        <f t="shared" si="665"/>
        <v>0</v>
      </c>
      <c r="V134" s="88">
        <f t="shared" si="665"/>
        <v>1012.4</v>
      </c>
      <c r="W134" s="88">
        <f t="shared" si="665"/>
        <v>0</v>
      </c>
      <c r="X134" s="88">
        <f t="shared" si="665"/>
        <v>97.600000000000023</v>
      </c>
      <c r="Y134" s="88">
        <f t="shared" si="665"/>
        <v>0</v>
      </c>
      <c r="Z134" s="88">
        <f t="shared" si="665"/>
        <v>1006.25</v>
      </c>
      <c r="AA134" s="88">
        <f t="shared" si="665"/>
        <v>0</v>
      </c>
      <c r="AB134" s="22">
        <f t="shared" si="644"/>
        <v>1006.25</v>
      </c>
      <c r="AC134" s="109">
        <f t="shared" si="645"/>
        <v>0</v>
      </c>
      <c r="AD134" s="22">
        <f t="shared" ref="AD134:CQ134" si="666">+AD132+AD133</f>
        <v>1006.25</v>
      </c>
      <c r="AE134" s="22">
        <f t="shared" si="666"/>
        <v>0</v>
      </c>
      <c r="AF134" s="22">
        <f t="shared" si="666"/>
        <v>0</v>
      </c>
      <c r="AG134" s="22">
        <f t="shared" si="666"/>
        <v>252</v>
      </c>
      <c r="AH134" s="22">
        <f t="shared" si="666"/>
        <v>0</v>
      </c>
      <c r="AI134" s="118">
        <f t="shared" si="666"/>
        <v>84</v>
      </c>
      <c r="AJ134" s="22">
        <f t="shared" si="666"/>
        <v>0</v>
      </c>
      <c r="AK134" s="22">
        <f t="shared" si="666"/>
        <v>0</v>
      </c>
      <c r="AL134" s="22">
        <f t="shared" si="666"/>
        <v>0</v>
      </c>
      <c r="AM134" s="22">
        <f t="shared" si="666"/>
        <v>251.56</v>
      </c>
      <c r="AN134" s="22">
        <f t="shared" si="666"/>
        <v>0</v>
      </c>
      <c r="AO134" s="22">
        <f t="shared" si="666"/>
        <v>0</v>
      </c>
      <c r="AP134" s="22">
        <f t="shared" si="666"/>
        <v>0</v>
      </c>
      <c r="AQ134" s="22">
        <f t="shared" si="666"/>
        <v>503.56</v>
      </c>
      <c r="AR134" s="22">
        <f t="shared" si="666"/>
        <v>0</v>
      </c>
      <c r="AS134" s="22">
        <f t="shared" si="666"/>
        <v>0</v>
      </c>
      <c r="AT134" s="22">
        <f t="shared" si="666"/>
        <v>0</v>
      </c>
      <c r="AU134" s="22">
        <f t="shared" si="666"/>
        <v>251.56</v>
      </c>
      <c r="AV134" s="22">
        <f t="shared" si="666"/>
        <v>0</v>
      </c>
      <c r="AW134" s="22">
        <f t="shared" si="666"/>
        <v>80</v>
      </c>
      <c r="AX134" s="22">
        <f t="shared" si="666"/>
        <v>0</v>
      </c>
      <c r="AY134" s="22">
        <f t="shared" si="666"/>
        <v>919.12</v>
      </c>
      <c r="AZ134" s="22">
        <f t="shared" si="666"/>
        <v>0</v>
      </c>
      <c r="BA134" s="22">
        <f t="shared" si="666"/>
        <v>919.12</v>
      </c>
      <c r="BB134" s="22">
        <f t="shared" si="666"/>
        <v>814.88</v>
      </c>
      <c r="BC134" s="22">
        <f t="shared" si="666"/>
        <v>0</v>
      </c>
      <c r="BD134" s="22">
        <f t="shared" si="666"/>
        <v>104.24000000000001</v>
      </c>
      <c r="BE134" s="22">
        <f t="shared" si="666"/>
        <v>0</v>
      </c>
      <c r="BF134" s="22">
        <f t="shared" si="666"/>
        <v>162.98000000000002</v>
      </c>
      <c r="BG134" s="118">
        <f t="shared" si="666"/>
        <v>0</v>
      </c>
      <c r="BH134" s="118">
        <f t="shared" si="666"/>
        <v>37.97</v>
      </c>
      <c r="BI134" s="118">
        <f t="shared" si="666"/>
        <v>0</v>
      </c>
      <c r="BJ134" s="118">
        <f t="shared" si="666"/>
        <v>0</v>
      </c>
      <c r="BK134" s="118">
        <f t="shared" si="666"/>
        <v>0</v>
      </c>
      <c r="BL134" s="118">
        <f t="shared" si="666"/>
        <v>957.09</v>
      </c>
      <c r="BM134" s="118">
        <f t="shared" si="666"/>
        <v>0</v>
      </c>
      <c r="BN134" s="118">
        <f t="shared" si="666"/>
        <v>957.09</v>
      </c>
      <c r="BO134" s="118">
        <f t="shared" si="666"/>
        <v>861.1</v>
      </c>
      <c r="BP134" s="118">
        <f t="shared" si="666"/>
        <v>0</v>
      </c>
      <c r="BQ134" s="22">
        <f t="shared" si="666"/>
        <v>95.990000000000009</v>
      </c>
      <c r="BR134" s="22">
        <f t="shared" si="666"/>
        <v>0</v>
      </c>
      <c r="BS134" s="22">
        <f t="shared" si="666"/>
        <v>78.289999999999992</v>
      </c>
      <c r="BT134" s="22">
        <f t="shared" si="666"/>
        <v>0</v>
      </c>
      <c r="BU134" s="22">
        <f t="shared" si="666"/>
        <v>64.5</v>
      </c>
      <c r="BV134" s="22">
        <f t="shared" si="666"/>
        <v>0</v>
      </c>
      <c r="BW134" s="22">
        <f t="shared" si="666"/>
        <v>0</v>
      </c>
      <c r="BX134" s="22">
        <f t="shared" si="666"/>
        <v>0</v>
      </c>
      <c r="BY134" s="22">
        <f t="shared" si="666"/>
        <v>0</v>
      </c>
      <c r="BZ134" s="22">
        <f t="shared" si="666"/>
        <v>0</v>
      </c>
      <c r="CA134" s="22">
        <f t="shared" si="666"/>
        <v>1021.59</v>
      </c>
      <c r="CB134" s="22">
        <f t="shared" si="666"/>
        <v>0</v>
      </c>
      <c r="CC134" s="22">
        <f t="shared" si="666"/>
        <v>1123.75</v>
      </c>
      <c r="CD134" s="118">
        <f t="shared" si="666"/>
        <v>0</v>
      </c>
      <c r="CE134" s="190">
        <f t="shared" si="666"/>
        <v>94</v>
      </c>
      <c r="CF134" s="190">
        <f t="shared" si="666"/>
        <v>0</v>
      </c>
      <c r="CG134" s="190">
        <f t="shared" si="666"/>
        <v>255.4</v>
      </c>
      <c r="CH134" s="190">
        <f t="shared" si="666"/>
        <v>0</v>
      </c>
      <c r="CI134" s="190">
        <f t="shared" si="666"/>
        <v>0</v>
      </c>
      <c r="CJ134" s="190">
        <f t="shared" si="666"/>
        <v>0</v>
      </c>
      <c r="CK134" s="190">
        <f t="shared" si="666"/>
        <v>290</v>
      </c>
      <c r="CL134" s="190">
        <f t="shared" si="666"/>
        <v>38.54</v>
      </c>
      <c r="CM134" s="190">
        <f t="shared" si="666"/>
        <v>0</v>
      </c>
      <c r="CN134" s="190">
        <f t="shared" si="666"/>
        <v>0</v>
      </c>
      <c r="CO134" s="190">
        <f t="shared" si="666"/>
        <v>1160</v>
      </c>
      <c r="CP134" s="190">
        <f t="shared" si="666"/>
        <v>38.54</v>
      </c>
      <c r="CQ134" s="190">
        <f t="shared" si="666"/>
        <v>1160</v>
      </c>
      <c r="CR134" s="190">
        <f t="shared" ref="CR134:DP134" si="667">+CR132+CR133</f>
        <v>154.16</v>
      </c>
      <c r="CS134" s="190">
        <f t="shared" si="667"/>
        <v>1110</v>
      </c>
      <c r="CT134" s="190">
        <f t="shared" si="667"/>
        <v>38.54</v>
      </c>
      <c r="CU134" s="190">
        <f t="shared" si="667"/>
        <v>1110</v>
      </c>
      <c r="CV134" s="190">
        <f t="shared" si="667"/>
        <v>38.54</v>
      </c>
      <c r="CW134" s="190">
        <f t="shared" si="667"/>
        <v>277.5</v>
      </c>
      <c r="CX134" s="190">
        <f t="shared" si="667"/>
        <v>0</v>
      </c>
      <c r="CY134" s="190">
        <f t="shared" si="667"/>
        <v>0</v>
      </c>
      <c r="CZ134" s="190">
        <f t="shared" si="667"/>
        <v>0</v>
      </c>
      <c r="DA134" s="190">
        <f t="shared" si="667"/>
        <v>661.5</v>
      </c>
      <c r="DB134" s="190">
        <f t="shared" si="667"/>
        <v>38.54</v>
      </c>
      <c r="DC134" s="190">
        <f t="shared" si="667"/>
        <v>661.06</v>
      </c>
      <c r="DD134" s="190">
        <f t="shared" si="667"/>
        <v>38.54</v>
      </c>
      <c r="DE134" s="190">
        <f t="shared" si="667"/>
        <v>0.43999999999999773</v>
      </c>
      <c r="DF134" s="190">
        <f t="shared" si="667"/>
        <v>0</v>
      </c>
      <c r="DG134" s="190">
        <f t="shared" si="667"/>
        <v>277.5</v>
      </c>
      <c r="DH134" s="190">
        <f t="shared" si="667"/>
        <v>9.64</v>
      </c>
      <c r="DI134" s="190">
        <f t="shared" si="667"/>
        <v>277.06</v>
      </c>
      <c r="DJ134" s="190">
        <f t="shared" si="667"/>
        <v>0</v>
      </c>
      <c r="DK134" s="104">
        <f t="shared" si="577"/>
        <v>241.44</v>
      </c>
      <c r="DL134" s="104">
        <f t="shared" si="578"/>
        <v>0</v>
      </c>
      <c r="DM134" s="104">
        <f t="shared" si="663"/>
        <v>171.44</v>
      </c>
      <c r="DN134" s="104">
        <f t="shared" si="664"/>
        <v>0</v>
      </c>
      <c r="DO134" s="22">
        <f t="shared" si="667"/>
        <v>1180</v>
      </c>
      <c r="DP134" s="22">
        <f t="shared" si="667"/>
        <v>38.54</v>
      </c>
      <c r="DQ134" s="22">
        <f t="shared" ref="DQ134:DR134" si="668">+DQ132+DQ133</f>
        <v>1250</v>
      </c>
      <c r="DR134" s="22">
        <f t="shared" si="668"/>
        <v>100</v>
      </c>
    </row>
    <row r="135" spans="1:129" ht="37.5">
      <c r="A135" s="45"/>
      <c r="B135" s="45"/>
      <c r="C135" s="46"/>
      <c r="D135" s="47" t="s">
        <v>218</v>
      </c>
      <c r="E135" s="48" t="s">
        <v>219</v>
      </c>
      <c r="F135" s="49">
        <v>36205.109999999993</v>
      </c>
      <c r="G135" s="49">
        <v>11450.289999999997</v>
      </c>
      <c r="H135" s="49">
        <v>36556.42</v>
      </c>
      <c r="I135" s="49">
        <v>11650.539999999997</v>
      </c>
      <c r="J135" s="92">
        <f t="shared" ref="J135:AA135" si="669">+J134+J131+J130+J129+J128+J127+J126+J125+J117+J118+J119+J122+J110+J113+J114+J104+J107+J101+J98+J95+J94+J93+J90</f>
        <v>42962.216</v>
      </c>
      <c r="K135" s="92">
        <f t="shared" si="669"/>
        <v>370</v>
      </c>
      <c r="L135" s="92">
        <f t="shared" si="669"/>
        <v>1.1000000000000001</v>
      </c>
      <c r="M135" s="92">
        <f t="shared" si="669"/>
        <v>43333.315999999999</v>
      </c>
      <c r="N135" s="92">
        <f t="shared" si="669"/>
        <v>752.5</v>
      </c>
      <c r="O135" s="92">
        <f t="shared" si="669"/>
        <v>13</v>
      </c>
      <c r="P135" s="92">
        <f t="shared" si="669"/>
        <v>0</v>
      </c>
      <c r="Q135" s="92">
        <f t="shared" si="669"/>
        <v>765.5</v>
      </c>
      <c r="R135" s="92">
        <f t="shared" si="669"/>
        <v>43348.815999999999</v>
      </c>
      <c r="S135" s="92">
        <f t="shared" si="669"/>
        <v>12981.45</v>
      </c>
      <c r="T135" s="92">
        <f t="shared" si="669"/>
        <v>0</v>
      </c>
      <c r="U135" s="92">
        <f t="shared" si="669"/>
        <v>0</v>
      </c>
      <c r="V135" s="92">
        <f t="shared" si="669"/>
        <v>38687.659999999996</v>
      </c>
      <c r="W135" s="92">
        <f t="shared" si="669"/>
        <v>12031.51</v>
      </c>
      <c r="X135" s="92">
        <f t="shared" si="669"/>
        <v>4661.1559999999999</v>
      </c>
      <c r="Y135" s="92">
        <f t="shared" si="669"/>
        <v>949.94000000000028</v>
      </c>
      <c r="Z135" s="92">
        <f t="shared" si="669"/>
        <v>38067.82</v>
      </c>
      <c r="AA135" s="92">
        <f t="shared" si="669"/>
        <v>618.87</v>
      </c>
      <c r="AB135" s="49">
        <f t="shared" si="644"/>
        <v>38686.69</v>
      </c>
      <c r="AC135" s="109">
        <f t="shared" si="645"/>
        <v>0</v>
      </c>
      <c r="AD135" s="49">
        <f t="shared" ref="AD135:CO135" si="670">+AD134+AD131+AD130+AD129+AD128+AD127+AD126+AD125+AD117+AD118+AD119+AD122+AD110+AD113+AD114+AD104+AD107+AD101+AD98+AD95+AD94+AD93+AD90</f>
        <v>38686.689999999995</v>
      </c>
      <c r="AE135" s="49">
        <f t="shared" si="670"/>
        <v>11482.03</v>
      </c>
      <c r="AF135" s="49">
        <f t="shared" si="670"/>
        <v>11711.869999999999</v>
      </c>
      <c r="AG135" s="49">
        <f t="shared" si="670"/>
        <v>9472</v>
      </c>
      <c r="AH135" s="49">
        <f t="shared" si="670"/>
        <v>2923</v>
      </c>
      <c r="AI135" s="49">
        <f t="shared" si="670"/>
        <v>3157</v>
      </c>
      <c r="AJ135" s="49">
        <f t="shared" si="670"/>
        <v>947</v>
      </c>
      <c r="AK135" s="49">
        <f t="shared" si="670"/>
        <v>224</v>
      </c>
      <c r="AL135" s="49">
        <f t="shared" si="670"/>
        <v>349.75</v>
      </c>
      <c r="AM135" s="49">
        <f t="shared" si="670"/>
        <v>9671.7099999999991</v>
      </c>
      <c r="AN135" s="49">
        <f t="shared" si="670"/>
        <v>2770.29</v>
      </c>
      <c r="AO135" s="49">
        <f t="shared" si="670"/>
        <v>46.65</v>
      </c>
      <c r="AP135" s="49">
        <f t="shared" si="670"/>
        <v>26.74</v>
      </c>
      <c r="AQ135" s="49">
        <f t="shared" si="670"/>
        <v>19414.360000000004</v>
      </c>
      <c r="AR135" s="49">
        <f t="shared" si="670"/>
        <v>6069.7800000000007</v>
      </c>
      <c r="AS135" s="49">
        <f t="shared" si="670"/>
        <v>64.64</v>
      </c>
      <c r="AT135" s="49">
        <f t="shared" si="670"/>
        <v>60</v>
      </c>
      <c r="AU135" s="49">
        <f t="shared" si="670"/>
        <v>9468.0199999999986</v>
      </c>
      <c r="AV135" s="49">
        <f t="shared" si="670"/>
        <v>2819.4900000000002</v>
      </c>
      <c r="AW135" s="49">
        <f t="shared" si="670"/>
        <v>221.48999999999998</v>
      </c>
      <c r="AX135" s="49">
        <f t="shared" si="670"/>
        <v>779.60000000000014</v>
      </c>
      <c r="AY135" s="49">
        <f t="shared" si="670"/>
        <v>32325.51</v>
      </c>
      <c r="AZ135" s="49">
        <f t="shared" si="670"/>
        <v>10675.87</v>
      </c>
      <c r="BA135" s="49">
        <f t="shared" si="670"/>
        <v>43001.380000000005</v>
      </c>
      <c r="BB135" s="49">
        <f t="shared" si="670"/>
        <v>30814.78</v>
      </c>
      <c r="BC135" s="49">
        <f t="shared" si="670"/>
        <v>10186.369999999999</v>
      </c>
      <c r="BD135" s="49">
        <f t="shared" si="670"/>
        <v>1510.73</v>
      </c>
      <c r="BE135" s="49">
        <f t="shared" si="670"/>
        <v>489.50000000000051</v>
      </c>
      <c r="BF135" s="49">
        <f t="shared" si="670"/>
        <v>6162.9599999999991</v>
      </c>
      <c r="BG135" s="49">
        <f t="shared" si="670"/>
        <v>2037.2800000000002</v>
      </c>
      <c r="BH135" s="49">
        <f t="shared" si="670"/>
        <v>2502.69</v>
      </c>
      <c r="BI135" s="49">
        <f t="shared" si="670"/>
        <v>686.8900000000001</v>
      </c>
      <c r="BJ135" s="49">
        <f t="shared" si="670"/>
        <v>67.16</v>
      </c>
      <c r="BK135" s="49">
        <f t="shared" si="670"/>
        <v>55</v>
      </c>
      <c r="BL135" s="49">
        <f t="shared" si="670"/>
        <v>34895.360000000008</v>
      </c>
      <c r="BM135" s="49">
        <f t="shared" si="670"/>
        <v>11417.76</v>
      </c>
      <c r="BN135" s="49">
        <f t="shared" si="670"/>
        <v>46313.120000000003</v>
      </c>
      <c r="BO135" s="49">
        <f t="shared" si="670"/>
        <v>33923.599999999999</v>
      </c>
      <c r="BP135" s="130">
        <f t="shared" si="670"/>
        <v>11100.96</v>
      </c>
      <c r="BQ135" s="49">
        <f t="shared" si="670"/>
        <v>971.76000000000056</v>
      </c>
      <c r="BR135" s="49">
        <f t="shared" si="670"/>
        <v>316.80000000000058</v>
      </c>
      <c r="BS135" s="49">
        <f t="shared" si="670"/>
        <v>3083.9699999999993</v>
      </c>
      <c r="BT135" s="49">
        <f t="shared" si="670"/>
        <v>1009.18</v>
      </c>
      <c r="BU135" s="49">
        <f t="shared" si="670"/>
        <v>2423.690000000001</v>
      </c>
      <c r="BV135" s="49">
        <f t="shared" si="670"/>
        <v>959.06999999999994</v>
      </c>
      <c r="BW135" s="49">
        <f t="shared" si="670"/>
        <v>932.71</v>
      </c>
      <c r="BX135" s="49">
        <f t="shared" si="670"/>
        <v>969.51</v>
      </c>
      <c r="BY135" s="49">
        <f t="shared" si="670"/>
        <v>20.88</v>
      </c>
      <c r="BZ135" s="49">
        <f t="shared" si="670"/>
        <v>0</v>
      </c>
      <c r="CA135" s="49">
        <f t="shared" si="670"/>
        <v>38251.760000000002</v>
      </c>
      <c r="CB135" s="49">
        <f t="shared" si="670"/>
        <v>13325.460000000001</v>
      </c>
      <c r="CC135" s="49">
        <f t="shared" si="670"/>
        <v>42076.97</v>
      </c>
      <c r="CD135" s="130">
        <f t="shared" si="670"/>
        <v>15324.289999999999</v>
      </c>
      <c r="CE135" s="191">
        <f t="shared" si="670"/>
        <v>3508</v>
      </c>
      <c r="CF135" s="191">
        <f t="shared" si="670"/>
        <v>1254</v>
      </c>
      <c r="CG135" s="191">
        <f t="shared" si="670"/>
        <v>9562.98</v>
      </c>
      <c r="CH135" s="191">
        <f t="shared" si="670"/>
        <v>3331.3699999999994</v>
      </c>
      <c r="CI135" s="191">
        <f t="shared" si="670"/>
        <v>0</v>
      </c>
      <c r="CJ135" s="191">
        <f t="shared" si="670"/>
        <v>0</v>
      </c>
      <c r="CK135" s="191">
        <f t="shared" si="670"/>
        <v>10501.67</v>
      </c>
      <c r="CL135" s="191">
        <f t="shared" si="670"/>
        <v>3456.04</v>
      </c>
      <c r="CM135" s="191">
        <f t="shared" si="670"/>
        <v>19</v>
      </c>
      <c r="CN135" s="191">
        <f t="shared" si="670"/>
        <v>275</v>
      </c>
      <c r="CO135" s="191">
        <f t="shared" si="670"/>
        <v>44354.18</v>
      </c>
      <c r="CP135" s="191">
        <f t="shared" ref="CP135:DU135" si="671">+CP134+CP131+CP130+CP129+CP128+CP127+CP126+CP125+CP117+CP118+CP119+CP122+CP110+CP113+CP114+CP104+CP107+CP101+CP98+CP95+CP94+CP93+CP90</f>
        <v>13618.54</v>
      </c>
      <c r="CQ135" s="191">
        <f t="shared" si="671"/>
        <v>42006.68</v>
      </c>
      <c r="CR135" s="191">
        <f t="shared" si="671"/>
        <v>14077.16</v>
      </c>
      <c r="CS135" s="191">
        <f t="shared" si="671"/>
        <v>41060.019999999997</v>
      </c>
      <c r="CT135" s="191">
        <f t="shared" si="671"/>
        <v>13049.54</v>
      </c>
      <c r="CU135" s="191">
        <f t="shared" si="671"/>
        <v>42427.35</v>
      </c>
      <c r="CV135" s="191">
        <f t="shared" si="671"/>
        <v>13820.58</v>
      </c>
      <c r="CW135" s="191">
        <f t="shared" si="671"/>
        <v>10120.6</v>
      </c>
      <c r="CX135" s="191">
        <f t="shared" si="671"/>
        <v>3215.51</v>
      </c>
      <c r="CY135" s="191">
        <f t="shared" si="671"/>
        <v>250</v>
      </c>
      <c r="CZ135" s="191">
        <f t="shared" si="671"/>
        <v>492</v>
      </c>
      <c r="DA135" s="191">
        <f t="shared" si="671"/>
        <v>24399.269999999997</v>
      </c>
      <c r="DB135" s="191">
        <f t="shared" si="671"/>
        <v>8692.5499999999993</v>
      </c>
      <c r="DC135" s="191">
        <f t="shared" si="671"/>
        <v>23397.429999999997</v>
      </c>
      <c r="DD135" s="191">
        <f t="shared" si="671"/>
        <v>7794.93</v>
      </c>
      <c r="DE135" s="191">
        <f t="shared" si="671"/>
        <v>1001.84</v>
      </c>
      <c r="DF135" s="191">
        <f t="shared" si="671"/>
        <v>897.62</v>
      </c>
      <c r="DG135" s="191">
        <f t="shared" si="671"/>
        <v>10481.230000000001</v>
      </c>
      <c r="DH135" s="191">
        <f t="shared" si="671"/>
        <v>3444.0699999999997</v>
      </c>
      <c r="DI135" s="191">
        <f t="shared" si="671"/>
        <v>9398.1399999999976</v>
      </c>
      <c r="DJ135" s="191">
        <f t="shared" si="671"/>
        <v>2509.8100000000004</v>
      </c>
      <c r="DK135" s="104">
        <f t="shared" si="577"/>
        <v>8947.7000000000062</v>
      </c>
      <c r="DL135" s="104">
        <f t="shared" si="578"/>
        <v>3573.2799999999997</v>
      </c>
      <c r="DM135" s="104">
        <f t="shared" si="663"/>
        <v>8629.9400000000041</v>
      </c>
      <c r="DN135" s="104">
        <f t="shared" si="664"/>
        <v>2618.2200000000003</v>
      </c>
      <c r="DO135" s="49">
        <f t="shared" si="671"/>
        <v>42745.11</v>
      </c>
      <c r="DP135" s="49">
        <f t="shared" si="671"/>
        <v>14775.64</v>
      </c>
      <c r="DQ135" s="49">
        <f t="shared" si="671"/>
        <v>48804.29</v>
      </c>
      <c r="DR135" s="49">
        <f t="shared" si="671"/>
        <v>16689.5</v>
      </c>
      <c r="DS135" s="49">
        <f t="shared" si="671"/>
        <v>0</v>
      </c>
      <c r="DT135" s="49">
        <f t="shared" si="671"/>
        <v>0</v>
      </c>
      <c r="DU135" s="49">
        <f t="shared" si="671"/>
        <v>0</v>
      </c>
      <c r="DY135" s="104"/>
    </row>
    <row r="136" spans="1:129" ht="18.75">
      <c r="A136" s="18">
        <v>1</v>
      </c>
      <c r="B136" s="18" t="s">
        <v>220</v>
      </c>
      <c r="C136" s="19" t="s">
        <v>45</v>
      </c>
      <c r="D136" s="20" t="s">
        <v>221</v>
      </c>
      <c r="E136" s="21" t="s">
        <v>222</v>
      </c>
      <c r="F136" s="81">
        <v>1733.56</v>
      </c>
      <c r="G136" s="81">
        <v>454.29000000000008</v>
      </c>
      <c r="H136" s="81">
        <v>1583.56</v>
      </c>
      <c r="I136" s="22">
        <v>454.29000000000008</v>
      </c>
      <c r="J136" s="88">
        <v>1400</v>
      </c>
      <c r="K136" s="88">
        <v>0</v>
      </c>
      <c r="L136" s="88">
        <v>0</v>
      </c>
      <c r="M136" s="88">
        <f t="shared" ref="M136:M155" si="672">J136+K136+L136</f>
        <v>1400</v>
      </c>
      <c r="N136" s="88">
        <v>0</v>
      </c>
      <c r="O136" s="88">
        <v>0</v>
      </c>
      <c r="P136" s="88">
        <v>0</v>
      </c>
      <c r="Q136" s="88">
        <f t="shared" ref="Q136:Q138" si="673">N136+O136+P136</f>
        <v>0</v>
      </c>
      <c r="R136" s="88">
        <f t="shared" ref="R136:R155" si="674">+Q136+M136</f>
        <v>1400</v>
      </c>
      <c r="S136" s="88">
        <v>625</v>
      </c>
      <c r="V136" s="22">
        <f t="shared" ref="V136" si="675">ROUND(H136*1.0583,2)</f>
        <v>1675.88</v>
      </c>
      <c r="W136" s="22">
        <f t="shared" ref="W136" si="676">ROUND(I136*1.0327,2)</f>
        <v>469.15</v>
      </c>
      <c r="X136" s="22">
        <f t="shared" si="642"/>
        <v>-275.88000000000011</v>
      </c>
      <c r="Y136" s="22">
        <f t="shared" si="643"/>
        <v>155.85000000000002</v>
      </c>
      <c r="Z136" s="22">
        <v>1400</v>
      </c>
      <c r="AA136" s="22"/>
      <c r="AB136" s="22">
        <f t="shared" si="644"/>
        <v>1400</v>
      </c>
      <c r="AC136" s="109">
        <f t="shared" si="645"/>
        <v>0</v>
      </c>
      <c r="AD136" s="22">
        <f t="shared" ref="AD136:AD138" si="677">IF(X136&gt;0,V136,R136)</f>
        <v>1400</v>
      </c>
      <c r="AE136" s="22">
        <f t="shared" ref="AE136:AE138" si="678">IF(Y136&gt;0,W136,S136)</f>
        <v>469.15</v>
      </c>
      <c r="AF136" s="22">
        <f t="shared" si="646"/>
        <v>563.88</v>
      </c>
      <c r="AG136" s="108">
        <f t="shared" si="647"/>
        <v>350</v>
      </c>
      <c r="AH136" s="108">
        <f t="shared" si="648"/>
        <v>117</v>
      </c>
      <c r="AI136" s="127">
        <f t="shared" si="649"/>
        <v>117</v>
      </c>
      <c r="AJ136" s="108">
        <f t="shared" si="650"/>
        <v>39</v>
      </c>
      <c r="AM136" s="108">
        <f t="shared" si="651"/>
        <v>350</v>
      </c>
      <c r="AN136" s="108">
        <f t="shared" si="652"/>
        <v>114.24</v>
      </c>
      <c r="AQ136" s="108">
        <f t="shared" si="653"/>
        <v>700</v>
      </c>
      <c r="AR136" s="108">
        <f t="shared" si="654"/>
        <v>231.24</v>
      </c>
      <c r="AU136" s="108">
        <f t="shared" si="497"/>
        <v>350</v>
      </c>
      <c r="AV136" s="108">
        <f t="shared" si="661"/>
        <v>117.29</v>
      </c>
      <c r="AY136" s="108">
        <f t="shared" si="633"/>
        <v>1167</v>
      </c>
      <c r="AZ136" s="108">
        <f t="shared" si="634"/>
        <v>387.53000000000003</v>
      </c>
      <c r="BA136" s="108">
        <f t="shared" si="635"/>
        <v>1554.53</v>
      </c>
      <c r="BB136" s="139">
        <v>1094.75</v>
      </c>
      <c r="BC136" s="139">
        <v>370.51</v>
      </c>
      <c r="BD136" s="139">
        <f t="shared" si="636"/>
        <v>72.25</v>
      </c>
      <c r="BE136" s="139">
        <f t="shared" si="637"/>
        <v>17.020000000000039</v>
      </c>
      <c r="BF136" s="139">
        <f t="shared" si="638"/>
        <v>218.95</v>
      </c>
      <c r="BG136" s="139">
        <f t="shared" si="639"/>
        <v>74.099999999999994</v>
      </c>
      <c r="BH136" s="108">
        <v>49</v>
      </c>
      <c r="BI136" s="108">
        <v>22.5</v>
      </c>
      <c r="BJ136" s="108">
        <v>20</v>
      </c>
      <c r="BL136" s="108">
        <f t="shared" si="662"/>
        <v>1236</v>
      </c>
      <c r="BM136" s="108">
        <f t="shared" ref="BM136:BM197" si="679">+BI136+AZ136+BK136</f>
        <v>410.03000000000003</v>
      </c>
      <c r="BN136" s="108">
        <f t="shared" ref="BN136:BN197" si="680">BL136+BM136</f>
        <v>1646.03</v>
      </c>
      <c r="BO136" s="108">
        <v>1202.08</v>
      </c>
      <c r="BP136" s="127">
        <v>404.23</v>
      </c>
      <c r="BQ136" s="108">
        <f t="shared" ref="BQ136:BQ197" si="681">BL136-BO136</f>
        <v>33.920000000000073</v>
      </c>
      <c r="BR136" s="108">
        <f t="shared" ref="BR136:BR197" si="682">BM136-BP136</f>
        <v>5.8000000000000114</v>
      </c>
      <c r="BS136" s="108">
        <f t="shared" ref="BS136:BS197" si="683">ROUND(BO136/11,2)</f>
        <v>109.28</v>
      </c>
      <c r="BT136" s="108">
        <f t="shared" ref="BT136:BT197" si="684">ROUND(BP136/11,2)</f>
        <v>36.75</v>
      </c>
      <c r="BU136" s="108">
        <v>75.36</v>
      </c>
      <c r="BV136" s="143">
        <v>140</v>
      </c>
      <c r="BW136" s="143"/>
      <c r="BX136" s="143"/>
      <c r="BY136" s="143"/>
      <c r="BZ136" s="143"/>
      <c r="CA136" s="108">
        <v>1311.36</v>
      </c>
      <c r="CB136" s="108">
        <v>550.03</v>
      </c>
      <c r="CC136">
        <v>1442.5</v>
      </c>
      <c r="CD136">
        <v>632.53</v>
      </c>
      <c r="CE136" s="189">
        <v>120</v>
      </c>
      <c r="CF136" s="189">
        <v>53</v>
      </c>
      <c r="CG136" s="189">
        <f t="shared" ref="CG136:CG197" si="685">ROUND(CA136/12*3,2)</f>
        <v>327.84</v>
      </c>
      <c r="CH136" s="189">
        <f t="shared" ref="CH136:CH197" si="686">ROUND(CB136/12*3,2)</f>
        <v>137.51</v>
      </c>
      <c r="CI136" s="150"/>
      <c r="CJ136" s="150"/>
      <c r="CK136" s="150">
        <v>350</v>
      </c>
      <c r="CL136" s="150">
        <v>25</v>
      </c>
      <c r="CM136" s="150"/>
      <c r="CN136" s="150"/>
      <c r="CO136" s="150">
        <v>1300</v>
      </c>
      <c r="CP136" s="150">
        <v>400</v>
      </c>
      <c r="CQ136" s="150">
        <f t="shared" ref="CQ136:CQ197" si="687">ROUND(CK136/3*12,2)</f>
        <v>1400</v>
      </c>
      <c r="CR136" s="150">
        <f t="shared" ref="CR136:CR197" si="688">ROUND(CL136/3*12,2)</f>
        <v>100</v>
      </c>
      <c r="CS136" s="150">
        <f t="shared" ref="CS136:CU197" si="689">IF(CO136&lt;CQ136,CO136,CQ136)</f>
        <v>1300</v>
      </c>
      <c r="CT136" s="150">
        <f t="shared" ref="CT136:CT197" si="690">IF(CP136&lt;CR136,CP136,CR136)</f>
        <v>100</v>
      </c>
      <c r="CU136" s="150">
        <v>1300</v>
      </c>
      <c r="CV136" s="150">
        <v>250</v>
      </c>
      <c r="CW136" s="150">
        <f t="shared" ref="CW136:CX197" si="691">ROUND(CU136*25%,2)</f>
        <v>325</v>
      </c>
      <c r="CX136" s="150">
        <f t="shared" si="575"/>
        <v>62.5</v>
      </c>
      <c r="CY136" s="150">
        <v>25</v>
      </c>
      <c r="CZ136" s="150"/>
      <c r="DA136" s="150">
        <f t="shared" ref="DA136:DA197" si="692">+CY136+CW136+CM136+CK136+CE136</f>
        <v>820</v>
      </c>
      <c r="DB136" s="150">
        <f t="shared" ref="DB136:DB197" si="693">+CZ136+CX136+CN136+CL136+CF136</f>
        <v>140.5</v>
      </c>
      <c r="DC136" s="150">
        <v>798.52</v>
      </c>
      <c r="DD136" s="150">
        <v>136.96</v>
      </c>
      <c r="DE136" s="150">
        <f t="shared" ref="DE136:DE197" si="694">+DA136-DC136</f>
        <v>21.480000000000018</v>
      </c>
      <c r="DF136" s="150">
        <f t="shared" ref="DF136:DF197" si="695">+DB136-DD136</f>
        <v>3.539999999999992</v>
      </c>
      <c r="DG136" s="150">
        <f t="shared" ref="DG136:DH138" si="696">ROUND(0.25*(MIN(CU136,DO136)),2)</f>
        <v>325</v>
      </c>
      <c r="DH136" s="150">
        <f t="shared" si="696"/>
        <v>62.5</v>
      </c>
      <c r="DI136" s="150">
        <f>+DG136-DE136</f>
        <v>303.52</v>
      </c>
      <c r="DJ136" s="150">
        <f>+DH136-DF136</f>
        <v>58.960000000000008</v>
      </c>
      <c r="DK136" s="104">
        <f t="shared" si="577"/>
        <v>176.48000000000002</v>
      </c>
      <c r="DL136" s="104">
        <f t="shared" si="578"/>
        <v>100.53999999999999</v>
      </c>
      <c r="DM136" s="104">
        <f t="shared" si="663"/>
        <v>176.48000000000002</v>
      </c>
      <c r="DN136" s="104">
        <f t="shared" si="664"/>
        <v>50.539999999999992</v>
      </c>
      <c r="DO136" s="104">
        <v>1300</v>
      </c>
      <c r="DP136" s="104">
        <v>300</v>
      </c>
      <c r="DQ136" s="104">
        <v>1300</v>
      </c>
      <c r="DR136" s="104">
        <v>300</v>
      </c>
    </row>
    <row r="137" spans="1:129" ht="18.75">
      <c r="A137" s="13">
        <v>2</v>
      </c>
      <c r="B137" s="13"/>
      <c r="C137" s="14"/>
      <c r="D137" s="15" t="s">
        <v>223</v>
      </c>
      <c r="E137" s="16"/>
      <c r="F137" s="81">
        <v>2084.08</v>
      </c>
      <c r="G137" s="81">
        <v>179.38000000000002</v>
      </c>
      <c r="H137" s="81">
        <v>2084.08</v>
      </c>
      <c r="I137" s="17">
        <v>179.38000000000002</v>
      </c>
      <c r="J137" s="86">
        <v>1850</v>
      </c>
      <c r="K137" s="87">
        <v>430</v>
      </c>
      <c r="L137" s="87">
        <v>0</v>
      </c>
      <c r="M137" s="87">
        <f t="shared" si="672"/>
        <v>2280</v>
      </c>
      <c r="N137" s="87">
        <v>0</v>
      </c>
      <c r="O137" s="87">
        <v>0</v>
      </c>
      <c r="P137" s="87">
        <v>0</v>
      </c>
      <c r="Q137" s="87">
        <f t="shared" si="673"/>
        <v>0</v>
      </c>
      <c r="R137" s="87">
        <f t="shared" si="674"/>
        <v>2280</v>
      </c>
      <c r="S137" s="87">
        <v>325</v>
      </c>
      <c r="V137" s="17">
        <f t="shared" ref="V137" si="697">ROUND(H137*1.0583,2)</f>
        <v>2205.58</v>
      </c>
      <c r="W137" s="17">
        <f t="shared" ref="W137" si="698">ROUND(I137*1.0327,2)</f>
        <v>185.25</v>
      </c>
      <c r="X137" s="108">
        <f t="shared" si="642"/>
        <v>74.420000000000073</v>
      </c>
      <c r="Y137" s="108">
        <f t="shared" si="643"/>
        <v>139.75</v>
      </c>
      <c r="Z137" s="108">
        <v>2205.58</v>
      </c>
      <c r="AA137" s="108"/>
      <c r="AB137" s="108">
        <f t="shared" si="644"/>
        <v>2205.58</v>
      </c>
      <c r="AC137" s="109">
        <f t="shared" si="645"/>
        <v>0</v>
      </c>
      <c r="AD137" s="108">
        <f t="shared" si="677"/>
        <v>2205.58</v>
      </c>
      <c r="AE137" s="108">
        <f t="shared" si="678"/>
        <v>185.25</v>
      </c>
      <c r="AF137" s="108">
        <f t="shared" si="646"/>
        <v>293.22000000000003</v>
      </c>
      <c r="AG137" s="108">
        <f t="shared" si="647"/>
        <v>551</v>
      </c>
      <c r="AH137" s="108">
        <f>ROUND(AE137/4,0)+14</f>
        <v>60</v>
      </c>
      <c r="AI137" s="127">
        <f t="shared" si="649"/>
        <v>184</v>
      </c>
      <c r="AJ137" s="108">
        <f t="shared" si="650"/>
        <v>15</v>
      </c>
      <c r="AM137" s="108">
        <f t="shared" si="651"/>
        <v>551.4</v>
      </c>
      <c r="AN137" s="108">
        <f>ROUND(AE137*24.35%,2)+4.89</f>
        <v>50</v>
      </c>
      <c r="AQ137" s="108">
        <f t="shared" si="653"/>
        <v>1102.4000000000001</v>
      </c>
      <c r="AR137" s="108">
        <f t="shared" si="654"/>
        <v>110</v>
      </c>
      <c r="AU137" s="108">
        <f t="shared" si="497"/>
        <v>551.4</v>
      </c>
      <c r="AV137" s="116">
        <f>ROUND(AE137*25%,2)+10</f>
        <v>56.31</v>
      </c>
      <c r="AW137" s="116"/>
      <c r="AX137" s="143">
        <v>16.71</v>
      </c>
      <c r="AY137" s="108">
        <f t="shared" si="633"/>
        <v>1837.8000000000002</v>
      </c>
      <c r="AZ137" s="108">
        <f t="shared" si="634"/>
        <v>198.02</v>
      </c>
      <c r="BA137" s="108">
        <f t="shared" si="635"/>
        <v>2035.8200000000002</v>
      </c>
      <c r="BB137" s="139">
        <v>1757.17</v>
      </c>
      <c r="BC137" s="139">
        <v>179.47</v>
      </c>
      <c r="BD137" s="139">
        <f t="shared" si="636"/>
        <v>80.630000000000109</v>
      </c>
      <c r="BE137" s="139">
        <f t="shared" si="637"/>
        <v>18.550000000000011</v>
      </c>
      <c r="BF137" s="139">
        <f t="shared" si="638"/>
        <v>351.43</v>
      </c>
      <c r="BG137" s="139">
        <f t="shared" si="639"/>
        <v>35.89</v>
      </c>
      <c r="BH137" s="143">
        <v>117.5</v>
      </c>
      <c r="BI137" s="143">
        <v>42.5</v>
      </c>
      <c r="BJ137" s="143"/>
      <c r="BK137" s="143"/>
      <c r="BL137" s="108">
        <f t="shared" si="662"/>
        <v>1955.3000000000002</v>
      </c>
      <c r="BM137" s="108">
        <f t="shared" si="679"/>
        <v>240.52</v>
      </c>
      <c r="BN137" s="108">
        <f t="shared" si="680"/>
        <v>2195.8200000000002</v>
      </c>
      <c r="BO137" s="108">
        <v>1924.37</v>
      </c>
      <c r="BP137" s="127">
        <v>225.43</v>
      </c>
      <c r="BQ137" s="108">
        <f t="shared" si="681"/>
        <v>30.930000000000291</v>
      </c>
      <c r="BR137" s="108">
        <f t="shared" si="682"/>
        <v>15.090000000000003</v>
      </c>
      <c r="BS137" s="108">
        <f t="shared" si="683"/>
        <v>174.94</v>
      </c>
      <c r="BT137" s="108">
        <f t="shared" si="684"/>
        <v>20.49</v>
      </c>
      <c r="BU137" s="143">
        <v>117.5</v>
      </c>
      <c r="BV137" s="143">
        <v>20</v>
      </c>
      <c r="BW137" s="143"/>
      <c r="BX137" s="143">
        <v>22.5</v>
      </c>
      <c r="BY137" s="143"/>
      <c r="BZ137" s="143"/>
      <c r="CA137" s="108">
        <v>2072.8000000000002</v>
      </c>
      <c r="CB137" s="108">
        <v>283.02</v>
      </c>
      <c r="CC137">
        <v>2280.08</v>
      </c>
      <c r="CD137">
        <v>325.47000000000003</v>
      </c>
      <c r="CE137" s="189">
        <v>190</v>
      </c>
      <c r="CF137" s="189">
        <v>27</v>
      </c>
      <c r="CG137" s="189">
        <f t="shared" si="685"/>
        <v>518.20000000000005</v>
      </c>
      <c r="CH137" s="189">
        <f t="shared" si="686"/>
        <v>70.760000000000005</v>
      </c>
      <c r="CI137" s="150"/>
      <c r="CJ137" s="150"/>
      <c r="CK137" s="150">
        <v>570</v>
      </c>
      <c r="CL137" s="150">
        <v>60</v>
      </c>
      <c r="CM137" s="150"/>
      <c r="CN137" s="150"/>
      <c r="CO137" s="150">
        <v>2432.54</v>
      </c>
      <c r="CP137" s="150">
        <v>125</v>
      </c>
      <c r="CQ137" s="150">
        <f t="shared" si="687"/>
        <v>2280</v>
      </c>
      <c r="CR137" s="150">
        <f t="shared" si="688"/>
        <v>240</v>
      </c>
      <c r="CS137" s="150">
        <f t="shared" si="689"/>
        <v>2280</v>
      </c>
      <c r="CT137" s="150">
        <f t="shared" si="690"/>
        <v>125</v>
      </c>
      <c r="CU137" s="150">
        <f t="shared" ref="CU137" si="699">IF(CQ137&lt;CS137,CQ137,CS137)</f>
        <v>2280</v>
      </c>
      <c r="CV137" s="150">
        <f t="shared" ref="CV137:CV138" si="700">IF(CR137&lt;CT137,CR137,CT137)</f>
        <v>125</v>
      </c>
      <c r="CW137" s="150">
        <f t="shared" si="691"/>
        <v>570</v>
      </c>
      <c r="CX137" s="150">
        <f>ROUND(CV137*25%,2)-31.25</f>
        <v>0</v>
      </c>
      <c r="CY137" s="150"/>
      <c r="CZ137" s="150"/>
      <c r="DA137" s="150">
        <f t="shared" si="692"/>
        <v>1330</v>
      </c>
      <c r="DB137" s="150">
        <f t="shared" si="693"/>
        <v>87</v>
      </c>
      <c r="DC137" s="150">
        <v>1313.49</v>
      </c>
      <c r="DD137" s="150">
        <v>87</v>
      </c>
      <c r="DE137" s="150">
        <f t="shared" si="694"/>
        <v>16.509999999999991</v>
      </c>
      <c r="DF137" s="150">
        <f t="shared" si="695"/>
        <v>0</v>
      </c>
      <c r="DG137" s="150">
        <f t="shared" si="696"/>
        <v>568.25</v>
      </c>
      <c r="DH137" s="150">
        <f t="shared" si="696"/>
        <v>31.25</v>
      </c>
      <c r="DI137" s="150">
        <f>+DG137-DE137</f>
        <v>551.74</v>
      </c>
      <c r="DJ137" s="150">
        <f>+DH137-DF137</f>
        <v>31.25</v>
      </c>
      <c r="DK137" s="104">
        <f t="shared" si="577"/>
        <v>391.26</v>
      </c>
      <c r="DL137" s="104">
        <f t="shared" si="578"/>
        <v>201.75</v>
      </c>
      <c r="DM137" s="104">
        <f t="shared" si="663"/>
        <v>398.26</v>
      </c>
      <c r="DN137" s="104">
        <f t="shared" si="664"/>
        <v>6.75</v>
      </c>
      <c r="DO137" s="104">
        <v>2273</v>
      </c>
      <c r="DP137" s="104">
        <v>320</v>
      </c>
      <c r="DQ137" s="104">
        <v>2650</v>
      </c>
      <c r="DR137" s="104">
        <v>460</v>
      </c>
    </row>
    <row r="138" spans="1:129" ht="18.75">
      <c r="A138" s="13">
        <v>3</v>
      </c>
      <c r="B138" s="13"/>
      <c r="C138" s="14"/>
      <c r="D138" s="15" t="s">
        <v>224</v>
      </c>
      <c r="E138" s="16"/>
      <c r="F138" s="81">
        <v>52.110000000000007</v>
      </c>
      <c r="G138" s="81">
        <v>0</v>
      </c>
      <c r="H138" s="81">
        <v>52.110000000000007</v>
      </c>
      <c r="I138" s="17">
        <v>0</v>
      </c>
      <c r="J138" s="86">
        <v>72</v>
      </c>
      <c r="K138" s="87">
        <v>0</v>
      </c>
      <c r="L138" s="87">
        <v>0</v>
      </c>
      <c r="M138" s="87">
        <f t="shared" si="672"/>
        <v>72</v>
      </c>
      <c r="N138" s="87">
        <v>0</v>
      </c>
      <c r="O138" s="87">
        <v>0</v>
      </c>
      <c r="P138" s="87">
        <v>0</v>
      </c>
      <c r="Q138" s="87">
        <f t="shared" si="673"/>
        <v>0</v>
      </c>
      <c r="R138" s="87">
        <f t="shared" si="674"/>
        <v>72</v>
      </c>
      <c r="S138" s="87">
        <v>0</v>
      </c>
      <c r="V138" s="17">
        <f t="shared" ref="V138" si="701">ROUND(H138*1.0583,2)</f>
        <v>55.15</v>
      </c>
      <c r="W138" s="17">
        <f t="shared" ref="W138" si="702">ROUND(I138*1.0327,2)</f>
        <v>0</v>
      </c>
      <c r="X138" s="108">
        <f t="shared" si="642"/>
        <v>16.850000000000001</v>
      </c>
      <c r="Y138" s="108">
        <f t="shared" si="643"/>
        <v>0</v>
      </c>
      <c r="Z138" s="108">
        <v>55.15</v>
      </c>
      <c r="AA138" s="108"/>
      <c r="AB138" s="108">
        <f t="shared" si="644"/>
        <v>55.15</v>
      </c>
      <c r="AC138" s="109">
        <f t="shared" si="645"/>
        <v>0</v>
      </c>
      <c r="AD138" s="108">
        <f t="shared" si="677"/>
        <v>55.15</v>
      </c>
      <c r="AE138" s="108">
        <f t="shared" si="678"/>
        <v>0</v>
      </c>
      <c r="AF138" s="108">
        <f t="shared" si="646"/>
        <v>0</v>
      </c>
      <c r="AG138" s="108">
        <f t="shared" si="647"/>
        <v>14</v>
      </c>
      <c r="AH138" s="108">
        <f t="shared" si="648"/>
        <v>0</v>
      </c>
      <c r="AI138" s="127">
        <f t="shared" si="649"/>
        <v>5</v>
      </c>
      <c r="AJ138" s="108">
        <f t="shared" si="650"/>
        <v>0</v>
      </c>
      <c r="AM138" s="108">
        <f t="shared" si="651"/>
        <v>13.79</v>
      </c>
      <c r="AN138" s="108">
        <f t="shared" si="652"/>
        <v>0</v>
      </c>
      <c r="AQ138" s="108">
        <f t="shared" si="653"/>
        <v>27.79</v>
      </c>
      <c r="AR138" s="108">
        <f t="shared" si="654"/>
        <v>0</v>
      </c>
      <c r="AU138" s="108">
        <f t="shared" si="497"/>
        <v>13.79</v>
      </c>
      <c r="AV138" s="108">
        <f t="shared" si="661"/>
        <v>0</v>
      </c>
      <c r="AY138" s="108">
        <f t="shared" si="633"/>
        <v>46.58</v>
      </c>
      <c r="AZ138" s="108">
        <f t="shared" si="634"/>
        <v>0</v>
      </c>
      <c r="BA138" s="108">
        <f t="shared" si="635"/>
        <v>46.58</v>
      </c>
      <c r="BB138" s="139">
        <v>30</v>
      </c>
      <c r="BD138" s="139">
        <f t="shared" si="636"/>
        <v>16.579999999999998</v>
      </c>
      <c r="BE138" s="139">
        <f t="shared" si="637"/>
        <v>0</v>
      </c>
      <c r="BF138" s="139">
        <f t="shared" si="638"/>
        <v>6</v>
      </c>
      <c r="BG138" s="139">
        <f t="shared" si="639"/>
        <v>0</v>
      </c>
      <c r="BH138" s="143">
        <v>0.79</v>
      </c>
      <c r="BI138" s="143">
        <v>0</v>
      </c>
      <c r="BJ138" s="143"/>
      <c r="BK138" s="143"/>
      <c r="BL138" s="108">
        <f t="shared" si="662"/>
        <v>47.37</v>
      </c>
      <c r="BM138" s="108">
        <f t="shared" si="679"/>
        <v>0</v>
      </c>
      <c r="BN138" s="108">
        <f t="shared" si="680"/>
        <v>47.37</v>
      </c>
      <c r="BO138" s="108">
        <v>30</v>
      </c>
      <c r="BP138" s="127"/>
      <c r="BQ138" s="108">
        <f t="shared" si="681"/>
        <v>17.369999999999997</v>
      </c>
      <c r="BR138" s="108">
        <f t="shared" si="682"/>
        <v>0</v>
      </c>
      <c r="BS138" s="108">
        <f t="shared" si="683"/>
        <v>2.73</v>
      </c>
      <c r="BT138" s="108">
        <f t="shared" si="684"/>
        <v>0</v>
      </c>
      <c r="BU138" s="143">
        <v>0.78</v>
      </c>
      <c r="BV138" s="108">
        <v>0</v>
      </c>
      <c r="CA138" s="108">
        <v>48.15</v>
      </c>
      <c r="CB138" s="108">
        <v>0</v>
      </c>
      <c r="CC138">
        <v>52.97</v>
      </c>
      <c r="CD138">
        <v>0</v>
      </c>
      <c r="CE138" s="189">
        <v>4</v>
      </c>
      <c r="CF138" s="189">
        <v>0</v>
      </c>
      <c r="CG138" s="189">
        <f t="shared" si="685"/>
        <v>12.04</v>
      </c>
      <c r="CH138" s="189">
        <f t="shared" si="686"/>
        <v>0</v>
      </c>
      <c r="CI138" s="150"/>
      <c r="CJ138" s="150"/>
      <c r="CK138" s="150">
        <v>0</v>
      </c>
      <c r="CL138" s="150">
        <v>0</v>
      </c>
      <c r="CM138" s="150"/>
      <c r="CN138" s="150"/>
      <c r="CO138" s="150"/>
      <c r="CP138" s="150"/>
      <c r="CQ138" s="150">
        <f t="shared" si="687"/>
        <v>0</v>
      </c>
      <c r="CR138" s="150">
        <f t="shared" si="688"/>
        <v>0</v>
      </c>
      <c r="CS138" s="150">
        <f>IF(CO138&lt;CQ138,CO138,CQ138)+4</f>
        <v>4</v>
      </c>
      <c r="CT138" s="150">
        <f t="shared" si="690"/>
        <v>0</v>
      </c>
      <c r="CU138" s="150">
        <f>IF(CQ138&lt;CS138,CQ138,CS138)+4</f>
        <v>4</v>
      </c>
      <c r="CV138" s="150">
        <f t="shared" si="700"/>
        <v>0</v>
      </c>
      <c r="CW138" s="150">
        <f>ROUND(CU138*25%,2)-1</f>
        <v>0</v>
      </c>
      <c r="CX138" s="150">
        <f t="shared" si="575"/>
        <v>0</v>
      </c>
      <c r="CY138" s="150"/>
      <c r="CZ138" s="150"/>
      <c r="DA138" s="150">
        <f t="shared" si="692"/>
        <v>4</v>
      </c>
      <c r="DB138" s="150">
        <f t="shared" si="693"/>
        <v>0</v>
      </c>
      <c r="DC138" s="150">
        <v>0</v>
      </c>
      <c r="DD138" s="150">
        <v>0</v>
      </c>
      <c r="DE138" s="150">
        <f t="shared" si="694"/>
        <v>4</v>
      </c>
      <c r="DF138" s="150">
        <f t="shared" si="695"/>
        <v>0</v>
      </c>
      <c r="DG138" s="150">
        <f t="shared" si="696"/>
        <v>1</v>
      </c>
      <c r="DH138" s="150">
        <f t="shared" si="696"/>
        <v>0</v>
      </c>
      <c r="DI138" s="150">
        <f>+DG138-DE138+3</f>
        <v>0</v>
      </c>
      <c r="DJ138" s="150">
        <f>+DH138-DF138</f>
        <v>0</v>
      </c>
      <c r="DK138" s="104">
        <f t="shared" si="577"/>
        <v>0</v>
      </c>
      <c r="DL138" s="104">
        <f t="shared" si="578"/>
        <v>0</v>
      </c>
      <c r="DM138" s="104">
        <f t="shared" si="663"/>
        <v>0</v>
      </c>
      <c r="DN138" s="104">
        <f t="shared" si="664"/>
        <v>0</v>
      </c>
      <c r="DO138" s="185">
        <f>0+4</f>
        <v>4</v>
      </c>
      <c r="DP138" s="104">
        <v>0</v>
      </c>
      <c r="DQ138" s="104">
        <v>0</v>
      </c>
      <c r="DR138" s="104">
        <v>0</v>
      </c>
    </row>
    <row r="139" spans="1:129" ht="18.75">
      <c r="A139" s="18"/>
      <c r="B139" s="18" t="s">
        <v>225</v>
      </c>
      <c r="C139" s="19" t="s">
        <v>118</v>
      </c>
      <c r="D139" s="20" t="s">
        <v>223</v>
      </c>
      <c r="E139" s="21" t="s">
        <v>226</v>
      </c>
      <c r="F139" s="22">
        <v>2136.19</v>
      </c>
      <c r="G139" s="22">
        <v>179.38000000000002</v>
      </c>
      <c r="H139" s="22">
        <v>2136.19</v>
      </c>
      <c r="I139" s="22">
        <v>179.38000000000002</v>
      </c>
      <c r="J139" s="88">
        <f t="shared" ref="J139:AA139" si="703">+J137+J138</f>
        <v>1922</v>
      </c>
      <c r="K139" s="88">
        <f t="shared" si="703"/>
        <v>430</v>
      </c>
      <c r="L139" s="88">
        <f t="shared" si="703"/>
        <v>0</v>
      </c>
      <c r="M139" s="88">
        <f t="shared" si="703"/>
        <v>2352</v>
      </c>
      <c r="N139" s="88">
        <f t="shared" si="703"/>
        <v>0</v>
      </c>
      <c r="O139" s="88">
        <f t="shared" si="703"/>
        <v>0</v>
      </c>
      <c r="P139" s="88">
        <f t="shared" si="703"/>
        <v>0</v>
      </c>
      <c r="Q139" s="88">
        <f t="shared" si="703"/>
        <v>0</v>
      </c>
      <c r="R139" s="88">
        <f t="shared" si="703"/>
        <v>2352</v>
      </c>
      <c r="S139" s="88">
        <f t="shared" si="703"/>
        <v>325</v>
      </c>
      <c r="T139" s="88">
        <f t="shared" si="703"/>
        <v>0</v>
      </c>
      <c r="U139" s="88">
        <f t="shared" si="703"/>
        <v>0</v>
      </c>
      <c r="V139" s="88">
        <f t="shared" si="703"/>
        <v>2260.73</v>
      </c>
      <c r="W139" s="88">
        <f t="shared" si="703"/>
        <v>185.25</v>
      </c>
      <c r="X139" s="88">
        <f t="shared" si="703"/>
        <v>91.270000000000067</v>
      </c>
      <c r="Y139" s="88">
        <f t="shared" si="703"/>
        <v>139.75</v>
      </c>
      <c r="Z139" s="88">
        <f t="shared" si="703"/>
        <v>2260.73</v>
      </c>
      <c r="AA139" s="88">
        <f t="shared" si="703"/>
        <v>0</v>
      </c>
      <c r="AB139" s="22">
        <f t="shared" si="644"/>
        <v>2260.73</v>
      </c>
      <c r="AC139" s="109">
        <f t="shared" si="645"/>
        <v>0</v>
      </c>
      <c r="AD139" s="22">
        <f t="shared" ref="AD139:CQ139" si="704">+AD137+AD138</f>
        <v>2260.73</v>
      </c>
      <c r="AE139" s="22">
        <f t="shared" si="704"/>
        <v>185.25</v>
      </c>
      <c r="AF139" s="22">
        <f t="shared" si="704"/>
        <v>293.22000000000003</v>
      </c>
      <c r="AG139" s="22">
        <f t="shared" si="704"/>
        <v>565</v>
      </c>
      <c r="AH139" s="22">
        <f t="shared" si="704"/>
        <v>60</v>
      </c>
      <c r="AI139" s="118">
        <f t="shared" si="704"/>
        <v>189</v>
      </c>
      <c r="AJ139" s="22">
        <f t="shared" si="704"/>
        <v>15</v>
      </c>
      <c r="AK139" s="22">
        <f t="shared" si="704"/>
        <v>0</v>
      </c>
      <c r="AL139" s="22">
        <f t="shared" si="704"/>
        <v>0</v>
      </c>
      <c r="AM139" s="22">
        <f t="shared" si="704"/>
        <v>565.18999999999994</v>
      </c>
      <c r="AN139" s="22">
        <f t="shared" si="704"/>
        <v>50</v>
      </c>
      <c r="AO139" s="22">
        <f t="shared" si="704"/>
        <v>0</v>
      </c>
      <c r="AP139" s="22">
        <f t="shared" si="704"/>
        <v>0</v>
      </c>
      <c r="AQ139" s="22">
        <f t="shared" si="704"/>
        <v>1130.19</v>
      </c>
      <c r="AR139" s="22">
        <f t="shared" si="704"/>
        <v>110</v>
      </c>
      <c r="AS139" s="22">
        <f t="shared" si="704"/>
        <v>0</v>
      </c>
      <c r="AT139" s="22">
        <f t="shared" si="704"/>
        <v>0</v>
      </c>
      <c r="AU139" s="22">
        <f t="shared" si="704"/>
        <v>565.18999999999994</v>
      </c>
      <c r="AV139" s="22">
        <f t="shared" si="704"/>
        <v>56.31</v>
      </c>
      <c r="AW139" s="22">
        <f t="shared" si="704"/>
        <v>0</v>
      </c>
      <c r="AX139" s="22">
        <f t="shared" si="704"/>
        <v>16.71</v>
      </c>
      <c r="AY139" s="22">
        <f t="shared" si="704"/>
        <v>1884.38</v>
      </c>
      <c r="AZ139" s="22">
        <f t="shared" si="704"/>
        <v>198.02</v>
      </c>
      <c r="BA139" s="22">
        <f t="shared" si="704"/>
        <v>2082.4</v>
      </c>
      <c r="BB139" s="22">
        <f t="shared" si="704"/>
        <v>1787.17</v>
      </c>
      <c r="BC139" s="22">
        <f t="shared" si="704"/>
        <v>179.47</v>
      </c>
      <c r="BD139" s="22">
        <f t="shared" si="704"/>
        <v>97.210000000000107</v>
      </c>
      <c r="BE139" s="22">
        <f t="shared" si="704"/>
        <v>18.550000000000011</v>
      </c>
      <c r="BF139" s="22">
        <f t="shared" si="704"/>
        <v>357.43</v>
      </c>
      <c r="BG139" s="118">
        <f t="shared" si="704"/>
        <v>35.89</v>
      </c>
      <c r="BH139" s="118">
        <f t="shared" si="704"/>
        <v>118.29</v>
      </c>
      <c r="BI139" s="118">
        <f t="shared" si="704"/>
        <v>42.5</v>
      </c>
      <c r="BJ139" s="118">
        <f t="shared" si="704"/>
        <v>0</v>
      </c>
      <c r="BK139" s="118">
        <f t="shared" si="704"/>
        <v>0</v>
      </c>
      <c r="BL139" s="118">
        <f t="shared" si="704"/>
        <v>2002.67</v>
      </c>
      <c r="BM139" s="118">
        <f t="shared" si="704"/>
        <v>240.52</v>
      </c>
      <c r="BN139" s="118">
        <f t="shared" si="704"/>
        <v>2243.19</v>
      </c>
      <c r="BO139" s="118">
        <f t="shared" si="704"/>
        <v>1954.37</v>
      </c>
      <c r="BP139" s="118">
        <f t="shared" si="704"/>
        <v>225.43</v>
      </c>
      <c r="BQ139" s="22">
        <f t="shared" si="704"/>
        <v>48.300000000000288</v>
      </c>
      <c r="BR139" s="22">
        <f t="shared" si="704"/>
        <v>15.090000000000003</v>
      </c>
      <c r="BS139" s="22">
        <f t="shared" si="704"/>
        <v>177.67</v>
      </c>
      <c r="BT139" s="22">
        <f t="shared" si="704"/>
        <v>20.49</v>
      </c>
      <c r="BU139" s="22">
        <f t="shared" si="704"/>
        <v>118.28</v>
      </c>
      <c r="BV139" s="22">
        <f t="shared" si="704"/>
        <v>20</v>
      </c>
      <c r="BW139" s="22">
        <f t="shared" si="704"/>
        <v>0</v>
      </c>
      <c r="BX139" s="22">
        <f t="shared" si="704"/>
        <v>22.5</v>
      </c>
      <c r="BY139" s="22">
        <f t="shared" si="704"/>
        <v>0</v>
      </c>
      <c r="BZ139" s="22">
        <f t="shared" si="704"/>
        <v>0</v>
      </c>
      <c r="CA139" s="22">
        <f t="shared" si="704"/>
        <v>2120.9500000000003</v>
      </c>
      <c r="CB139" s="22">
        <f t="shared" si="704"/>
        <v>283.02</v>
      </c>
      <c r="CC139" s="22">
        <f t="shared" si="704"/>
        <v>2333.0499999999997</v>
      </c>
      <c r="CD139" s="118">
        <f t="shared" si="704"/>
        <v>325.47000000000003</v>
      </c>
      <c r="CE139" s="190">
        <f t="shared" si="704"/>
        <v>194</v>
      </c>
      <c r="CF139" s="190">
        <f t="shared" si="704"/>
        <v>27</v>
      </c>
      <c r="CG139" s="190">
        <f t="shared" si="704"/>
        <v>530.24</v>
      </c>
      <c r="CH139" s="190">
        <f t="shared" si="704"/>
        <v>70.760000000000005</v>
      </c>
      <c r="CI139" s="190">
        <f t="shared" si="704"/>
        <v>0</v>
      </c>
      <c r="CJ139" s="190">
        <f t="shared" si="704"/>
        <v>0</v>
      </c>
      <c r="CK139" s="190">
        <f t="shared" si="704"/>
        <v>570</v>
      </c>
      <c r="CL139" s="190">
        <f t="shared" si="704"/>
        <v>60</v>
      </c>
      <c r="CM139" s="190">
        <f t="shared" si="704"/>
        <v>0</v>
      </c>
      <c r="CN139" s="190">
        <f t="shared" si="704"/>
        <v>0</v>
      </c>
      <c r="CO139" s="190">
        <f t="shared" si="704"/>
        <v>2432.54</v>
      </c>
      <c r="CP139" s="190">
        <f t="shared" si="704"/>
        <v>125</v>
      </c>
      <c r="CQ139" s="190">
        <f t="shared" si="704"/>
        <v>2280</v>
      </c>
      <c r="CR139" s="190">
        <f t="shared" ref="CR139:DP139" si="705">+CR137+CR138</f>
        <v>240</v>
      </c>
      <c r="CS139" s="190">
        <f t="shared" si="705"/>
        <v>2284</v>
      </c>
      <c r="CT139" s="190">
        <f t="shared" si="705"/>
        <v>125</v>
      </c>
      <c r="CU139" s="190">
        <f t="shared" si="705"/>
        <v>2284</v>
      </c>
      <c r="CV139" s="190">
        <f t="shared" si="705"/>
        <v>125</v>
      </c>
      <c r="CW139" s="190">
        <f t="shared" si="705"/>
        <v>570</v>
      </c>
      <c r="CX139" s="190">
        <f t="shared" si="705"/>
        <v>0</v>
      </c>
      <c r="CY139" s="190">
        <f t="shared" si="705"/>
        <v>0</v>
      </c>
      <c r="CZ139" s="190">
        <f t="shared" si="705"/>
        <v>0</v>
      </c>
      <c r="DA139" s="190">
        <f t="shared" si="705"/>
        <v>1334</v>
      </c>
      <c r="DB139" s="190">
        <f t="shared" si="705"/>
        <v>87</v>
      </c>
      <c r="DC139" s="190">
        <f t="shared" si="705"/>
        <v>1313.49</v>
      </c>
      <c r="DD139" s="190">
        <f t="shared" si="705"/>
        <v>87</v>
      </c>
      <c r="DE139" s="190">
        <f t="shared" si="705"/>
        <v>20.509999999999991</v>
      </c>
      <c r="DF139" s="190">
        <f t="shared" si="705"/>
        <v>0</v>
      </c>
      <c r="DG139" s="190">
        <f t="shared" si="705"/>
        <v>569.25</v>
      </c>
      <c r="DH139" s="190">
        <f t="shared" si="705"/>
        <v>31.25</v>
      </c>
      <c r="DI139" s="190">
        <f t="shared" si="705"/>
        <v>551.74</v>
      </c>
      <c r="DJ139" s="190">
        <f t="shared" si="705"/>
        <v>31.25</v>
      </c>
      <c r="DK139" s="104">
        <f t="shared" si="577"/>
        <v>391.26</v>
      </c>
      <c r="DL139" s="104">
        <f t="shared" si="578"/>
        <v>201.75</v>
      </c>
      <c r="DM139" s="104">
        <f t="shared" si="663"/>
        <v>398.26</v>
      </c>
      <c r="DN139" s="104">
        <f t="shared" si="664"/>
        <v>6.75</v>
      </c>
      <c r="DO139" s="22">
        <f t="shared" si="705"/>
        <v>2277</v>
      </c>
      <c r="DP139" s="22">
        <f t="shared" si="705"/>
        <v>320</v>
      </c>
      <c r="DQ139" s="22">
        <f t="shared" ref="DQ139:DR139" si="706">+DQ137+DQ138</f>
        <v>2650</v>
      </c>
      <c r="DR139" s="22">
        <f t="shared" si="706"/>
        <v>460</v>
      </c>
    </row>
    <row r="140" spans="1:129" ht="18.75">
      <c r="A140" s="13">
        <v>4</v>
      </c>
      <c r="B140" s="13"/>
      <c r="C140" s="14"/>
      <c r="D140" s="15" t="s">
        <v>227</v>
      </c>
      <c r="E140" s="16"/>
      <c r="F140" s="81">
        <v>2025.0000000000005</v>
      </c>
      <c r="G140" s="81">
        <v>742</v>
      </c>
      <c r="H140" s="81">
        <v>2025.0000000000005</v>
      </c>
      <c r="I140" s="17">
        <v>742</v>
      </c>
      <c r="J140" s="86">
        <v>2250</v>
      </c>
      <c r="K140" s="87">
        <v>500</v>
      </c>
      <c r="L140" s="87">
        <v>0.2</v>
      </c>
      <c r="M140" s="87">
        <f t="shared" si="672"/>
        <v>2750.2</v>
      </c>
      <c r="N140" s="87">
        <v>0</v>
      </c>
      <c r="O140" s="87">
        <v>0</v>
      </c>
      <c r="P140" s="87">
        <v>0</v>
      </c>
      <c r="Q140" s="87">
        <f t="shared" ref="Q140:Q141" si="707">N140+O140+P140</f>
        <v>0</v>
      </c>
      <c r="R140" s="87">
        <f t="shared" si="674"/>
        <v>2750.2</v>
      </c>
      <c r="S140" s="87">
        <v>750</v>
      </c>
      <c r="V140" s="17">
        <f t="shared" ref="V140:V141" si="708">ROUND(H140*1.0583,2)</f>
        <v>2143.06</v>
      </c>
      <c r="W140" s="17">
        <f t="shared" ref="W140:W141" si="709">ROUND(I140*1.0327,2)</f>
        <v>766.26</v>
      </c>
      <c r="X140" s="108">
        <f t="shared" si="642"/>
        <v>607.13999999999987</v>
      </c>
      <c r="Y140" s="108">
        <f t="shared" si="643"/>
        <v>-16.259999999999991</v>
      </c>
      <c r="Z140" s="108">
        <v>2143.06</v>
      </c>
      <c r="AA140" s="108"/>
      <c r="AB140" s="108">
        <f t="shared" si="644"/>
        <v>2143.06</v>
      </c>
      <c r="AC140" s="109">
        <f t="shared" si="645"/>
        <v>0</v>
      </c>
      <c r="AD140" s="108">
        <f t="shared" ref="AD140:AD141" si="710">IF(X140&gt;0,V140,R140)</f>
        <v>2143.06</v>
      </c>
      <c r="AE140" s="108">
        <f t="shared" ref="AE140:AE141" si="711">IF(Y140&gt;0,W140,S140)</f>
        <v>750</v>
      </c>
      <c r="AF140" s="108">
        <f t="shared" si="646"/>
        <v>676.65</v>
      </c>
      <c r="AG140" s="108">
        <f t="shared" si="647"/>
        <v>536</v>
      </c>
      <c r="AH140" s="108">
        <f t="shared" si="648"/>
        <v>188</v>
      </c>
      <c r="AI140" s="127">
        <f t="shared" si="649"/>
        <v>179</v>
      </c>
      <c r="AJ140" s="108">
        <f t="shared" si="650"/>
        <v>63</v>
      </c>
      <c r="AM140" s="108">
        <f t="shared" si="651"/>
        <v>535.77</v>
      </c>
      <c r="AN140" s="108">
        <f t="shared" si="652"/>
        <v>182.63</v>
      </c>
      <c r="AQ140" s="108">
        <f t="shared" si="653"/>
        <v>1071.77</v>
      </c>
      <c r="AR140" s="108">
        <f t="shared" si="654"/>
        <v>370.63</v>
      </c>
      <c r="AU140" s="108">
        <f t="shared" si="497"/>
        <v>535.77</v>
      </c>
      <c r="AV140" s="108">
        <f t="shared" si="661"/>
        <v>187.5</v>
      </c>
      <c r="AY140" s="108">
        <f t="shared" si="633"/>
        <v>1786.54</v>
      </c>
      <c r="AZ140" s="108">
        <f t="shared" si="634"/>
        <v>621.13</v>
      </c>
      <c r="BA140" s="108">
        <f t="shared" si="635"/>
        <v>2407.67</v>
      </c>
      <c r="BB140" s="139">
        <v>1639.04</v>
      </c>
      <c r="BC140" s="139">
        <v>439.03</v>
      </c>
      <c r="BD140" s="139">
        <f t="shared" si="636"/>
        <v>147.5</v>
      </c>
      <c r="BE140" s="139">
        <f t="shared" si="637"/>
        <v>182.10000000000002</v>
      </c>
      <c r="BF140" s="139">
        <f t="shared" si="638"/>
        <v>327.81</v>
      </c>
      <c r="BG140" s="139">
        <f t="shared" si="639"/>
        <v>87.81</v>
      </c>
      <c r="BH140" s="108">
        <v>90.16</v>
      </c>
      <c r="BI140" s="108">
        <v>0</v>
      </c>
      <c r="BL140" s="108">
        <f t="shared" si="662"/>
        <v>1876.7</v>
      </c>
      <c r="BM140" s="108">
        <f t="shared" si="679"/>
        <v>621.13</v>
      </c>
      <c r="BN140" s="108">
        <f t="shared" si="680"/>
        <v>2497.83</v>
      </c>
      <c r="BO140" s="108">
        <v>1812.14</v>
      </c>
      <c r="BP140" s="127">
        <v>493.28</v>
      </c>
      <c r="BQ140" s="108">
        <f t="shared" si="681"/>
        <v>64.559999999999945</v>
      </c>
      <c r="BR140" s="108">
        <f t="shared" si="682"/>
        <v>127.85000000000002</v>
      </c>
      <c r="BS140" s="108">
        <f t="shared" si="683"/>
        <v>164.74</v>
      </c>
      <c r="BT140" s="108">
        <f t="shared" si="684"/>
        <v>44.84</v>
      </c>
      <c r="BU140" s="108">
        <f t="shared" ref="BU140:BU144" si="712">ROUND(BS140-BQ140,2)</f>
        <v>100.18</v>
      </c>
      <c r="BV140" s="108">
        <v>0</v>
      </c>
      <c r="BW140" s="109">
        <v>25</v>
      </c>
      <c r="BX140" s="108">
        <f>60+10</f>
        <v>70</v>
      </c>
      <c r="CA140" s="108">
        <v>2001.88</v>
      </c>
      <c r="CB140" s="108">
        <v>691.13</v>
      </c>
      <c r="CC140">
        <v>2202.0700000000002</v>
      </c>
      <c r="CD140">
        <v>794.8</v>
      </c>
      <c r="CE140" s="189">
        <v>184</v>
      </c>
      <c r="CF140" s="189">
        <v>66</v>
      </c>
      <c r="CG140" s="189">
        <f t="shared" si="685"/>
        <v>500.47</v>
      </c>
      <c r="CH140" s="189">
        <f t="shared" si="686"/>
        <v>172.78</v>
      </c>
      <c r="CI140" s="150"/>
      <c r="CJ140" s="150"/>
      <c r="CK140" s="150">
        <v>525</v>
      </c>
      <c r="CL140" s="150">
        <v>80</v>
      </c>
      <c r="CM140" s="150"/>
      <c r="CN140" s="150"/>
      <c r="CO140" s="150">
        <v>2450</v>
      </c>
      <c r="CP140" s="150">
        <v>750</v>
      </c>
      <c r="CQ140" s="150">
        <f t="shared" si="687"/>
        <v>2100</v>
      </c>
      <c r="CR140" s="150">
        <f t="shared" si="688"/>
        <v>320</v>
      </c>
      <c r="CS140" s="150">
        <f t="shared" si="689"/>
        <v>2100</v>
      </c>
      <c r="CT140" s="150">
        <f t="shared" si="690"/>
        <v>320</v>
      </c>
      <c r="CU140" s="150">
        <v>2100</v>
      </c>
      <c r="CV140" s="150">
        <f>56+320</f>
        <v>376</v>
      </c>
      <c r="CW140" s="150">
        <f t="shared" si="691"/>
        <v>525</v>
      </c>
      <c r="CX140" s="150">
        <v>80</v>
      </c>
      <c r="CY140" s="150"/>
      <c r="CZ140" s="150">
        <v>150</v>
      </c>
      <c r="DA140" s="150">
        <v>1234</v>
      </c>
      <c r="DB140" s="150">
        <v>376</v>
      </c>
      <c r="DC140" s="150">
        <v>1213.3399999999999</v>
      </c>
      <c r="DD140" s="150">
        <v>355.62</v>
      </c>
      <c r="DE140" s="150">
        <v>20.660000000000082</v>
      </c>
      <c r="DF140" s="150">
        <v>20.379999999999995</v>
      </c>
      <c r="DG140" s="150">
        <v>512.5</v>
      </c>
      <c r="DH140" s="150">
        <v>80</v>
      </c>
      <c r="DI140" s="150">
        <v>491.83999999999992</v>
      </c>
      <c r="DJ140" s="150">
        <v>0</v>
      </c>
      <c r="DK140" s="104">
        <f t="shared" si="577"/>
        <v>324.16000000000008</v>
      </c>
      <c r="DL140" s="104">
        <f t="shared" si="578"/>
        <v>274</v>
      </c>
      <c r="DM140" s="104">
        <f t="shared" si="663"/>
        <v>374.16000000000008</v>
      </c>
      <c r="DN140" s="104">
        <f t="shared" si="664"/>
        <v>0</v>
      </c>
      <c r="DO140" s="104">
        <v>2050</v>
      </c>
      <c r="DP140" s="104">
        <v>650</v>
      </c>
      <c r="DQ140" s="104">
        <v>2184</v>
      </c>
      <c r="DR140" s="104">
        <v>750</v>
      </c>
    </row>
    <row r="141" spans="1:129" ht="18.75">
      <c r="A141" s="13">
        <v>5</v>
      </c>
      <c r="B141" s="13"/>
      <c r="C141" s="14"/>
      <c r="D141" s="15" t="s">
        <v>228</v>
      </c>
      <c r="E141" s="16"/>
      <c r="F141" s="81">
        <v>0</v>
      </c>
      <c r="G141" s="81">
        <v>0</v>
      </c>
      <c r="H141" s="81">
        <v>0</v>
      </c>
      <c r="I141" s="17">
        <v>0</v>
      </c>
      <c r="J141" s="86">
        <v>0</v>
      </c>
      <c r="K141" s="87">
        <v>0</v>
      </c>
      <c r="L141" s="87">
        <v>0</v>
      </c>
      <c r="M141" s="87">
        <f t="shared" si="672"/>
        <v>0</v>
      </c>
      <c r="N141" s="87">
        <v>0</v>
      </c>
      <c r="O141" s="87">
        <v>0</v>
      </c>
      <c r="P141" s="87">
        <v>0</v>
      </c>
      <c r="Q141" s="87">
        <f t="shared" si="707"/>
        <v>0</v>
      </c>
      <c r="R141" s="87">
        <f t="shared" si="674"/>
        <v>0</v>
      </c>
      <c r="S141" s="87">
        <v>0</v>
      </c>
      <c r="V141" s="17">
        <f t="shared" si="708"/>
        <v>0</v>
      </c>
      <c r="W141" s="17">
        <f t="shared" si="709"/>
        <v>0</v>
      </c>
      <c r="X141" s="108">
        <f t="shared" si="642"/>
        <v>0</v>
      </c>
      <c r="Y141" s="108">
        <f t="shared" si="643"/>
        <v>0</v>
      </c>
      <c r="Z141" s="108">
        <v>0</v>
      </c>
      <c r="AA141" s="108"/>
      <c r="AB141" s="108">
        <f t="shared" si="644"/>
        <v>0</v>
      </c>
      <c r="AC141" s="109">
        <f t="shared" si="645"/>
        <v>0</v>
      </c>
      <c r="AD141" s="108">
        <f t="shared" si="710"/>
        <v>0</v>
      </c>
      <c r="AE141" s="108">
        <f t="shared" si="711"/>
        <v>0</v>
      </c>
      <c r="AF141" s="108">
        <f t="shared" si="646"/>
        <v>0</v>
      </c>
      <c r="AG141" s="108">
        <f t="shared" si="647"/>
        <v>0</v>
      </c>
      <c r="AH141" s="108">
        <f t="shared" si="648"/>
        <v>0</v>
      </c>
      <c r="AI141" s="127">
        <f t="shared" si="649"/>
        <v>0</v>
      </c>
      <c r="AJ141" s="108">
        <f t="shared" si="650"/>
        <v>0</v>
      </c>
      <c r="AM141" s="108">
        <f t="shared" si="651"/>
        <v>0</v>
      </c>
      <c r="AN141" s="108">
        <f t="shared" si="652"/>
        <v>0</v>
      </c>
      <c r="AQ141" s="108">
        <f t="shared" si="653"/>
        <v>0</v>
      </c>
      <c r="AR141" s="108">
        <f t="shared" si="654"/>
        <v>0</v>
      </c>
      <c r="AU141" s="108">
        <f t="shared" si="497"/>
        <v>0</v>
      </c>
      <c r="AV141" s="108">
        <f t="shared" si="661"/>
        <v>0</v>
      </c>
      <c r="AY141" s="108">
        <f t="shared" si="633"/>
        <v>0</v>
      </c>
      <c r="AZ141" s="108">
        <f t="shared" si="634"/>
        <v>0</v>
      </c>
      <c r="BA141" s="108">
        <f t="shared" si="635"/>
        <v>0</v>
      </c>
      <c r="BB141" s="139">
        <v>0</v>
      </c>
      <c r="BD141" s="139">
        <f t="shared" si="636"/>
        <v>0</v>
      </c>
      <c r="BE141" s="139">
        <f t="shared" si="637"/>
        <v>0</v>
      </c>
      <c r="BF141" s="139">
        <f t="shared" si="638"/>
        <v>0</v>
      </c>
      <c r="BG141" s="139">
        <f t="shared" si="639"/>
        <v>0</v>
      </c>
      <c r="BH141" s="108">
        <v>0</v>
      </c>
      <c r="BI141" s="108">
        <v>0</v>
      </c>
      <c r="BL141" s="108">
        <f t="shared" si="662"/>
        <v>0</v>
      </c>
      <c r="BM141" s="108">
        <f t="shared" si="679"/>
        <v>0</v>
      </c>
      <c r="BN141" s="108">
        <f t="shared" si="680"/>
        <v>0</v>
      </c>
      <c r="BO141" s="108">
        <v>0</v>
      </c>
      <c r="BP141" s="127"/>
      <c r="BQ141" s="108">
        <f t="shared" si="681"/>
        <v>0</v>
      </c>
      <c r="BR141" s="108">
        <f t="shared" si="682"/>
        <v>0</v>
      </c>
      <c r="BS141" s="108">
        <f t="shared" si="683"/>
        <v>0</v>
      </c>
      <c r="BT141" s="108">
        <f t="shared" si="684"/>
        <v>0</v>
      </c>
      <c r="BU141" s="108">
        <f t="shared" si="712"/>
        <v>0</v>
      </c>
      <c r="BV141" s="108">
        <v>0</v>
      </c>
      <c r="CA141" s="108">
        <v>0</v>
      </c>
      <c r="CB141" s="108">
        <v>0</v>
      </c>
      <c r="CC141">
        <v>0</v>
      </c>
      <c r="CD141">
        <v>0</v>
      </c>
      <c r="CE141" s="189">
        <v>0</v>
      </c>
      <c r="CF141" s="189">
        <v>0</v>
      </c>
      <c r="CG141" s="189">
        <f t="shared" si="685"/>
        <v>0</v>
      </c>
      <c r="CH141" s="189">
        <f t="shared" si="686"/>
        <v>0</v>
      </c>
      <c r="CI141" s="150"/>
      <c r="CJ141" s="150"/>
      <c r="CK141" s="150">
        <v>0</v>
      </c>
      <c r="CL141" s="150">
        <v>0</v>
      </c>
      <c r="CM141" s="150"/>
      <c r="CN141" s="150"/>
      <c r="CO141" s="150"/>
      <c r="CP141" s="150"/>
      <c r="CQ141" s="150">
        <f t="shared" si="687"/>
        <v>0</v>
      </c>
      <c r="CR141" s="150">
        <f t="shared" si="688"/>
        <v>0</v>
      </c>
      <c r="CS141" s="150">
        <f t="shared" si="689"/>
        <v>0</v>
      </c>
      <c r="CT141" s="150">
        <f t="shared" si="690"/>
        <v>0</v>
      </c>
      <c r="CU141" s="150">
        <v>0</v>
      </c>
      <c r="CV141" s="150">
        <v>0</v>
      </c>
      <c r="CW141" s="150">
        <f t="shared" si="691"/>
        <v>0</v>
      </c>
      <c r="CX141" s="150">
        <f t="shared" si="575"/>
        <v>0</v>
      </c>
      <c r="CY141" s="150"/>
      <c r="CZ141" s="150"/>
      <c r="DA141" s="150">
        <f t="shared" si="692"/>
        <v>0</v>
      </c>
      <c r="DB141" s="150">
        <f t="shared" si="693"/>
        <v>0</v>
      </c>
      <c r="DC141" s="150">
        <v>0</v>
      </c>
      <c r="DD141" s="150">
        <v>0</v>
      </c>
      <c r="DE141" s="150">
        <f t="shared" si="694"/>
        <v>0</v>
      </c>
      <c r="DF141" s="150">
        <f t="shared" si="695"/>
        <v>0</v>
      </c>
      <c r="DG141" s="150">
        <f>ROUND(0.25*(MIN(CU141,DO141)),2)</f>
        <v>0</v>
      </c>
      <c r="DH141" s="150">
        <f>ROUND(0.25*(MIN(CV141,DP141)),2)</f>
        <v>0</v>
      </c>
      <c r="DI141" s="150">
        <f>+DG141-DE141</f>
        <v>0</v>
      </c>
      <c r="DJ141" s="150">
        <f>+DH141-DF141</f>
        <v>0</v>
      </c>
      <c r="DK141" s="104">
        <f t="shared" si="577"/>
        <v>0</v>
      </c>
      <c r="DL141" s="104">
        <f t="shared" si="578"/>
        <v>0</v>
      </c>
      <c r="DM141" s="104">
        <f t="shared" si="663"/>
        <v>0</v>
      </c>
      <c r="DN141" s="104">
        <f t="shared" si="664"/>
        <v>0</v>
      </c>
      <c r="DO141" s="104">
        <v>0</v>
      </c>
      <c r="DP141" s="104">
        <v>0</v>
      </c>
      <c r="DQ141" s="104">
        <v>0</v>
      </c>
      <c r="DR141" s="104">
        <v>0</v>
      </c>
    </row>
    <row r="142" spans="1:129" ht="18.75">
      <c r="A142" s="18"/>
      <c r="B142" s="18" t="s">
        <v>229</v>
      </c>
      <c r="C142" s="19" t="s">
        <v>45</v>
      </c>
      <c r="D142" s="20" t="s">
        <v>227</v>
      </c>
      <c r="E142" s="21" t="s">
        <v>230</v>
      </c>
      <c r="F142" s="22">
        <v>2025.0000000000005</v>
      </c>
      <c r="G142" s="22">
        <v>742</v>
      </c>
      <c r="H142" s="22">
        <v>2025.0000000000005</v>
      </c>
      <c r="I142" s="22">
        <v>742</v>
      </c>
      <c r="J142" s="88">
        <f t="shared" ref="J142:AA142" si="713">+J140+J141</f>
        <v>2250</v>
      </c>
      <c r="K142" s="88">
        <f t="shared" si="713"/>
        <v>500</v>
      </c>
      <c r="L142" s="88">
        <f t="shared" si="713"/>
        <v>0.2</v>
      </c>
      <c r="M142" s="88">
        <f t="shared" si="713"/>
        <v>2750.2</v>
      </c>
      <c r="N142" s="88">
        <f t="shared" si="713"/>
        <v>0</v>
      </c>
      <c r="O142" s="88">
        <f t="shared" si="713"/>
        <v>0</v>
      </c>
      <c r="P142" s="88">
        <f t="shared" si="713"/>
        <v>0</v>
      </c>
      <c r="Q142" s="88">
        <f t="shared" si="713"/>
        <v>0</v>
      </c>
      <c r="R142" s="88">
        <f t="shared" si="713"/>
        <v>2750.2</v>
      </c>
      <c r="S142" s="88">
        <f t="shared" si="713"/>
        <v>750</v>
      </c>
      <c r="T142" s="88">
        <f t="shared" si="713"/>
        <v>0</v>
      </c>
      <c r="U142" s="88">
        <f t="shared" si="713"/>
        <v>0</v>
      </c>
      <c r="V142" s="88">
        <f t="shared" si="713"/>
        <v>2143.06</v>
      </c>
      <c r="W142" s="88">
        <f t="shared" si="713"/>
        <v>766.26</v>
      </c>
      <c r="X142" s="88">
        <f t="shared" si="713"/>
        <v>607.13999999999987</v>
      </c>
      <c r="Y142" s="88">
        <f t="shared" si="713"/>
        <v>-16.259999999999991</v>
      </c>
      <c r="Z142" s="88">
        <f t="shared" si="713"/>
        <v>2143.06</v>
      </c>
      <c r="AA142" s="88">
        <f t="shared" si="713"/>
        <v>0</v>
      </c>
      <c r="AB142" s="22">
        <f t="shared" si="644"/>
        <v>2143.06</v>
      </c>
      <c r="AC142" s="109">
        <f t="shared" si="645"/>
        <v>0</v>
      </c>
      <c r="AD142" s="22">
        <f t="shared" ref="AD142:CO142" si="714">+AD140+AD141</f>
        <v>2143.06</v>
      </c>
      <c r="AE142" s="22">
        <f t="shared" si="714"/>
        <v>750</v>
      </c>
      <c r="AF142" s="22">
        <f t="shared" si="714"/>
        <v>676.65</v>
      </c>
      <c r="AG142" s="22">
        <f t="shared" si="714"/>
        <v>536</v>
      </c>
      <c r="AH142" s="22">
        <f t="shared" si="714"/>
        <v>188</v>
      </c>
      <c r="AI142" s="118">
        <f t="shared" si="714"/>
        <v>179</v>
      </c>
      <c r="AJ142" s="22">
        <f t="shared" si="714"/>
        <v>63</v>
      </c>
      <c r="AK142" s="22">
        <f t="shared" si="714"/>
        <v>0</v>
      </c>
      <c r="AL142" s="22">
        <f t="shared" si="714"/>
        <v>0</v>
      </c>
      <c r="AM142" s="22">
        <f t="shared" si="714"/>
        <v>535.77</v>
      </c>
      <c r="AN142" s="22">
        <f t="shared" si="714"/>
        <v>182.63</v>
      </c>
      <c r="AO142" s="22">
        <f t="shared" si="714"/>
        <v>0</v>
      </c>
      <c r="AP142" s="22">
        <f t="shared" si="714"/>
        <v>0</v>
      </c>
      <c r="AQ142" s="22">
        <f t="shared" si="714"/>
        <v>1071.77</v>
      </c>
      <c r="AR142" s="22">
        <f t="shared" si="714"/>
        <v>370.63</v>
      </c>
      <c r="AS142" s="22">
        <f t="shared" si="714"/>
        <v>0</v>
      </c>
      <c r="AT142" s="22">
        <f t="shared" si="714"/>
        <v>0</v>
      </c>
      <c r="AU142" s="22">
        <f t="shared" si="714"/>
        <v>535.77</v>
      </c>
      <c r="AV142" s="22">
        <f t="shared" si="714"/>
        <v>187.5</v>
      </c>
      <c r="AW142" s="22">
        <f t="shared" si="714"/>
        <v>0</v>
      </c>
      <c r="AX142" s="22">
        <f t="shared" si="714"/>
        <v>0</v>
      </c>
      <c r="AY142" s="22">
        <f t="shared" si="714"/>
        <v>1786.54</v>
      </c>
      <c r="AZ142" s="22">
        <f t="shared" si="714"/>
        <v>621.13</v>
      </c>
      <c r="BA142" s="22">
        <f t="shared" si="714"/>
        <v>2407.67</v>
      </c>
      <c r="BB142" s="22">
        <f t="shared" si="714"/>
        <v>1639.04</v>
      </c>
      <c r="BC142" s="22">
        <f t="shared" si="714"/>
        <v>439.03</v>
      </c>
      <c r="BD142" s="22">
        <f t="shared" si="714"/>
        <v>147.5</v>
      </c>
      <c r="BE142" s="22">
        <f t="shared" si="714"/>
        <v>182.10000000000002</v>
      </c>
      <c r="BF142" s="22">
        <f t="shared" si="714"/>
        <v>327.81</v>
      </c>
      <c r="BG142" s="118">
        <f t="shared" si="714"/>
        <v>87.81</v>
      </c>
      <c r="BH142" s="118">
        <f t="shared" si="714"/>
        <v>90.16</v>
      </c>
      <c r="BI142" s="118">
        <f t="shared" si="714"/>
        <v>0</v>
      </c>
      <c r="BJ142" s="118">
        <f t="shared" si="714"/>
        <v>0</v>
      </c>
      <c r="BK142" s="118">
        <f t="shared" si="714"/>
        <v>0</v>
      </c>
      <c r="BL142" s="118">
        <f t="shared" si="714"/>
        <v>1876.7</v>
      </c>
      <c r="BM142" s="118">
        <f t="shared" si="714"/>
        <v>621.13</v>
      </c>
      <c r="BN142" s="118">
        <f t="shared" si="714"/>
        <v>2497.83</v>
      </c>
      <c r="BO142" s="118">
        <f t="shared" si="714"/>
        <v>1812.14</v>
      </c>
      <c r="BP142" s="118">
        <f t="shared" si="714"/>
        <v>493.28</v>
      </c>
      <c r="BQ142" s="22">
        <f t="shared" si="714"/>
        <v>64.559999999999945</v>
      </c>
      <c r="BR142" s="22">
        <f t="shared" si="714"/>
        <v>127.85000000000002</v>
      </c>
      <c r="BS142" s="22">
        <f t="shared" si="714"/>
        <v>164.74</v>
      </c>
      <c r="BT142" s="22">
        <f t="shared" si="714"/>
        <v>44.84</v>
      </c>
      <c r="BU142" s="22">
        <f t="shared" si="714"/>
        <v>100.18</v>
      </c>
      <c r="BV142" s="22">
        <f t="shared" si="714"/>
        <v>0</v>
      </c>
      <c r="BW142" s="22">
        <f t="shared" si="714"/>
        <v>25</v>
      </c>
      <c r="BX142" s="22">
        <f t="shared" si="714"/>
        <v>70</v>
      </c>
      <c r="BY142" s="22">
        <f t="shared" si="714"/>
        <v>0</v>
      </c>
      <c r="BZ142" s="22">
        <f t="shared" si="714"/>
        <v>0</v>
      </c>
      <c r="CA142" s="22">
        <f t="shared" si="714"/>
        <v>2001.88</v>
      </c>
      <c r="CB142" s="22">
        <f t="shared" si="714"/>
        <v>691.13</v>
      </c>
      <c r="CC142" s="22">
        <f t="shared" si="714"/>
        <v>2202.0700000000002</v>
      </c>
      <c r="CD142" s="118">
        <f t="shared" si="714"/>
        <v>794.8</v>
      </c>
      <c r="CE142" s="190">
        <f t="shared" si="714"/>
        <v>184</v>
      </c>
      <c r="CF142" s="190">
        <f t="shared" si="714"/>
        <v>66</v>
      </c>
      <c r="CG142" s="190">
        <f t="shared" si="714"/>
        <v>500.47</v>
      </c>
      <c r="CH142" s="190">
        <f t="shared" si="714"/>
        <v>172.78</v>
      </c>
      <c r="CI142" s="190">
        <f t="shared" si="714"/>
        <v>0</v>
      </c>
      <c r="CJ142" s="190">
        <f t="shared" si="714"/>
        <v>0</v>
      </c>
      <c r="CK142" s="190">
        <f t="shared" si="714"/>
        <v>525</v>
      </c>
      <c r="CL142" s="190">
        <f t="shared" si="714"/>
        <v>80</v>
      </c>
      <c r="CM142" s="190">
        <f t="shared" si="714"/>
        <v>0</v>
      </c>
      <c r="CN142" s="190">
        <f t="shared" si="714"/>
        <v>0</v>
      </c>
      <c r="CO142" s="190">
        <f t="shared" si="714"/>
        <v>2450</v>
      </c>
      <c r="CP142" s="190">
        <f t="shared" ref="CP142:DS142" si="715">+CP140+CP141</f>
        <v>750</v>
      </c>
      <c r="CQ142" s="190">
        <f t="shared" si="715"/>
        <v>2100</v>
      </c>
      <c r="CR142" s="190">
        <f t="shared" si="715"/>
        <v>320</v>
      </c>
      <c r="CS142" s="190">
        <f t="shared" si="715"/>
        <v>2100</v>
      </c>
      <c r="CT142" s="190">
        <f t="shared" si="715"/>
        <v>320</v>
      </c>
      <c r="CU142" s="190">
        <f t="shared" si="715"/>
        <v>2100</v>
      </c>
      <c r="CV142" s="190">
        <f t="shared" si="715"/>
        <v>376</v>
      </c>
      <c r="CW142" s="190">
        <f t="shared" si="715"/>
        <v>525</v>
      </c>
      <c r="CX142" s="190">
        <f t="shared" si="715"/>
        <v>80</v>
      </c>
      <c r="CY142" s="190">
        <f t="shared" si="715"/>
        <v>0</v>
      </c>
      <c r="CZ142" s="190">
        <f t="shared" si="715"/>
        <v>150</v>
      </c>
      <c r="DA142" s="190">
        <f t="shared" si="715"/>
        <v>1234</v>
      </c>
      <c r="DB142" s="190">
        <f t="shared" si="715"/>
        <v>376</v>
      </c>
      <c r="DC142" s="190">
        <f t="shared" si="715"/>
        <v>1213.3399999999999</v>
      </c>
      <c r="DD142" s="190">
        <f t="shared" si="715"/>
        <v>355.62</v>
      </c>
      <c r="DE142" s="190">
        <f t="shared" si="715"/>
        <v>20.660000000000082</v>
      </c>
      <c r="DF142" s="190">
        <f t="shared" si="715"/>
        <v>20.379999999999995</v>
      </c>
      <c r="DG142" s="190">
        <f t="shared" si="715"/>
        <v>512.5</v>
      </c>
      <c r="DH142" s="190">
        <f t="shared" si="715"/>
        <v>80</v>
      </c>
      <c r="DI142" s="190">
        <f t="shared" si="715"/>
        <v>491.83999999999992</v>
      </c>
      <c r="DJ142" s="190">
        <f t="shared" si="715"/>
        <v>0</v>
      </c>
      <c r="DK142" s="104">
        <f t="shared" si="577"/>
        <v>324.16000000000008</v>
      </c>
      <c r="DL142" s="104">
        <f t="shared" si="578"/>
        <v>274</v>
      </c>
      <c r="DM142" s="104">
        <f t="shared" si="663"/>
        <v>374.16000000000008</v>
      </c>
      <c r="DN142" s="104">
        <f t="shared" si="664"/>
        <v>0</v>
      </c>
      <c r="DO142" s="22">
        <f t="shared" si="715"/>
        <v>2050</v>
      </c>
      <c r="DP142" s="22">
        <f t="shared" si="715"/>
        <v>650</v>
      </c>
      <c r="DQ142" s="22">
        <f t="shared" si="715"/>
        <v>2184</v>
      </c>
      <c r="DR142" s="22">
        <f t="shared" si="715"/>
        <v>750</v>
      </c>
      <c r="DS142" s="22">
        <f t="shared" si="715"/>
        <v>0</v>
      </c>
    </row>
    <row r="143" spans="1:129" ht="18.75">
      <c r="A143" s="13">
        <v>6</v>
      </c>
      <c r="B143" s="13"/>
      <c r="C143" s="14"/>
      <c r="D143" s="15" t="s">
        <v>231</v>
      </c>
      <c r="E143" s="16"/>
      <c r="F143" s="81">
        <v>2779.65</v>
      </c>
      <c r="G143" s="81">
        <v>422.05999999999995</v>
      </c>
      <c r="H143" s="81">
        <v>2779.65</v>
      </c>
      <c r="I143" s="17">
        <v>422.05999999999995</v>
      </c>
      <c r="J143" s="86">
        <v>3500</v>
      </c>
      <c r="K143" s="87">
        <v>0</v>
      </c>
      <c r="L143" s="87">
        <v>0</v>
      </c>
      <c r="M143" s="87">
        <f t="shared" si="672"/>
        <v>3500</v>
      </c>
      <c r="N143" s="87">
        <v>0</v>
      </c>
      <c r="O143" s="87">
        <v>0</v>
      </c>
      <c r="P143" s="87">
        <v>0</v>
      </c>
      <c r="Q143" s="87">
        <f t="shared" ref="Q143:Q145" si="716">N143+O143+P143</f>
        <v>0</v>
      </c>
      <c r="R143" s="87">
        <f t="shared" si="674"/>
        <v>3500</v>
      </c>
      <c r="S143" s="87">
        <v>350</v>
      </c>
      <c r="V143" s="17">
        <f t="shared" ref="V143:V144" si="717">ROUND(H143*1.0583,2)</f>
        <v>2941.7</v>
      </c>
      <c r="W143" s="17">
        <f t="shared" ref="W143:W144" si="718">ROUND(I143*1.0327,2)</f>
        <v>435.86</v>
      </c>
      <c r="X143" s="108">
        <f t="shared" si="642"/>
        <v>558.30000000000018</v>
      </c>
      <c r="Y143" s="108">
        <f t="shared" si="643"/>
        <v>-85.860000000000014</v>
      </c>
      <c r="Z143" s="108">
        <v>2941.7</v>
      </c>
      <c r="AA143" s="108"/>
      <c r="AB143" s="108">
        <f t="shared" si="644"/>
        <v>2941.7</v>
      </c>
      <c r="AC143" s="109">
        <f t="shared" si="645"/>
        <v>0</v>
      </c>
      <c r="AD143" s="108">
        <f t="shared" ref="AD143" si="719">IF(X143&gt;0,V143,R143)</f>
        <v>2941.7</v>
      </c>
      <c r="AE143" s="108">
        <f t="shared" ref="AE143" si="720">IF(Y143&gt;0,W143,S143)</f>
        <v>350</v>
      </c>
      <c r="AF143" s="108">
        <f t="shared" si="646"/>
        <v>315.77</v>
      </c>
      <c r="AG143" s="108">
        <f t="shared" si="647"/>
        <v>735</v>
      </c>
      <c r="AH143" s="108">
        <f t="shared" si="648"/>
        <v>88</v>
      </c>
      <c r="AI143" s="127">
        <f t="shared" si="649"/>
        <v>245</v>
      </c>
      <c r="AJ143" s="108">
        <f t="shared" si="650"/>
        <v>29</v>
      </c>
      <c r="AM143" s="108">
        <f t="shared" si="651"/>
        <v>735.43</v>
      </c>
      <c r="AN143" s="108">
        <f t="shared" si="652"/>
        <v>85.23</v>
      </c>
      <c r="AQ143" s="108">
        <f t="shared" si="653"/>
        <v>1470.4299999999998</v>
      </c>
      <c r="AR143" s="108">
        <f t="shared" si="654"/>
        <v>173.23000000000002</v>
      </c>
      <c r="AU143" s="151">
        <f t="shared" si="497"/>
        <v>735.43</v>
      </c>
      <c r="AV143" s="151">
        <f>ROUND(AE143*25%,2)-14.73</f>
        <v>72.77</v>
      </c>
      <c r="AW143" s="138"/>
      <c r="AX143" s="142">
        <v>27</v>
      </c>
      <c r="AY143" s="108">
        <f t="shared" si="633"/>
        <v>2450.8599999999997</v>
      </c>
      <c r="AZ143" s="108">
        <f t="shared" si="634"/>
        <v>302</v>
      </c>
      <c r="BA143" s="108">
        <f t="shared" si="635"/>
        <v>2752.8599999999997</v>
      </c>
      <c r="BB143" s="139">
        <v>2099.16</v>
      </c>
      <c r="BC143" s="139">
        <v>299.38</v>
      </c>
      <c r="BD143" s="139">
        <f t="shared" si="636"/>
        <v>351.69999999999982</v>
      </c>
      <c r="BE143" s="139">
        <f t="shared" si="637"/>
        <v>2.6200000000000045</v>
      </c>
      <c r="BF143" s="139">
        <f t="shared" si="638"/>
        <v>419.83</v>
      </c>
      <c r="BG143" s="139">
        <f t="shared" si="639"/>
        <v>59.88</v>
      </c>
      <c r="BH143" s="108">
        <v>34.07</v>
      </c>
      <c r="BI143" s="143">
        <v>28.63</v>
      </c>
      <c r="BJ143" s="143"/>
      <c r="BK143" s="143">
        <v>42</v>
      </c>
      <c r="BL143" s="108">
        <f t="shared" si="662"/>
        <v>2484.9299999999998</v>
      </c>
      <c r="BM143" s="108">
        <f t="shared" si="679"/>
        <v>372.63</v>
      </c>
      <c r="BN143" s="108">
        <f t="shared" si="680"/>
        <v>2857.56</v>
      </c>
      <c r="BO143" s="108">
        <v>2283.52</v>
      </c>
      <c r="BP143" s="127">
        <v>363.21</v>
      </c>
      <c r="BQ143" s="108">
        <f t="shared" si="681"/>
        <v>201.40999999999985</v>
      </c>
      <c r="BR143" s="108">
        <f t="shared" si="682"/>
        <v>9.4200000000000159</v>
      </c>
      <c r="BS143" s="108">
        <f t="shared" si="683"/>
        <v>207.59</v>
      </c>
      <c r="BT143" s="108">
        <f t="shared" si="684"/>
        <v>33.020000000000003</v>
      </c>
      <c r="BU143" s="108">
        <f t="shared" si="712"/>
        <v>6.18</v>
      </c>
      <c r="BV143" s="108">
        <v>0</v>
      </c>
      <c r="BW143" s="109">
        <v>130</v>
      </c>
      <c r="BX143" s="108">
        <v>25</v>
      </c>
      <c r="CA143" s="108">
        <v>2621.1099999999997</v>
      </c>
      <c r="CB143" s="108">
        <v>397.63</v>
      </c>
      <c r="CC143">
        <v>2883.22</v>
      </c>
      <c r="CD143">
        <v>457.27</v>
      </c>
      <c r="CE143" s="189">
        <v>240</v>
      </c>
      <c r="CF143" s="189">
        <v>38</v>
      </c>
      <c r="CG143" s="189">
        <f t="shared" si="685"/>
        <v>655.28</v>
      </c>
      <c r="CH143" s="189">
        <f t="shared" si="686"/>
        <v>99.41</v>
      </c>
      <c r="CI143" s="150"/>
      <c r="CJ143" s="150"/>
      <c r="CK143" s="150">
        <f>750.5-20</f>
        <v>730.5</v>
      </c>
      <c r="CL143" s="150">
        <v>50.3</v>
      </c>
      <c r="CM143" s="150"/>
      <c r="CN143" s="150"/>
      <c r="CO143" s="150">
        <v>3200</v>
      </c>
      <c r="CP143" s="150">
        <v>350</v>
      </c>
      <c r="CQ143" s="150">
        <f t="shared" si="687"/>
        <v>2922</v>
      </c>
      <c r="CR143" s="150">
        <f t="shared" si="688"/>
        <v>201.2</v>
      </c>
      <c r="CS143" s="150">
        <f t="shared" si="689"/>
        <v>2922</v>
      </c>
      <c r="CT143" s="150">
        <f>IF(CP143&lt;CR143,CP143,CR143)+0.67</f>
        <v>201.86999999999998</v>
      </c>
      <c r="CU143" s="150">
        <v>2922</v>
      </c>
      <c r="CV143" s="150">
        <v>295</v>
      </c>
      <c r="CW143" s="150">
        <f t="shared" si="691"/>
        <v>730.5</v>
      </c>
      <c r="CX143" s="150">
        <f t="shared" si="575"/>
        <v>73.75</v>
      </c>
      <c r="CY143" s="150"/>
      <c r="CZ143" s="150"/>
      <c r="DA143" s="150">
        <f t="shared" si="692"/>
        <v>1701</v>
      </c>
      <c r="DB143" s="150">
        <f t="shared" si="693"/>
        <v>162.05000000000001</v>
      </c>
      <c r="DC143" s="150">
        <v>1381.63</v>
      </c>
      <c r="DD143" s="150">
        <v>112.58</v>
      </c>
      <c r="DE143" s="150">
        <f t="shared" si="694"/>
        <v>319.36999999999989</v>
      </c>
      <c r="DF143" s="150">
        <f t="shared" si="695"/>
        <v>49.470000000000013</v>
      </c>
      <c r="DG143" s="150">
        <f t="shared" ref="DG143:DH145" si="721">ROUND(0.25*(MIN(CU143,DO143)),2)</f>
        <v>730.5</v>
      </c>
      <c r="DH143" s="150">
        <f t="shared" si="721"/>
        <v>73.75</v>
      </c>
      <c r="DI143" s="150">
        <f t="shared" ref="DI143:DJ145" si="722">+DG143-DE143</f>
        <v>411.13000000000011</v>
      </c>
      <c r="DJ143" s="150">
        <f t="shared" si="722"/>
        <v>24.279999999999987</v>
      </c>
      <c r="DK143" s="104">
        <f t="shared" si="577"/>
        <v>809.86999999999989</v>
      </c>
      <c r="DL143" s="104">
        <f t="shared" si="578"/>
        <v>108.67</v>
      </c>
      <c r="DM143" s="104">
        <f t="shared" si="663"/>
        <v>809.86999999999989</v>
      </c>
      <c r="DN143" s="104">
        <f t="shared" si="664"/>
        <v>108.67</v>
      </c>
      <c r="DO143" s="104">
        <v>2922</v>
      </c>
      <c r="DP143" s="104">
        <v>295</v>
      </c>
      <c r="DQ143" s="104">
        <v>3300</v>
      </c>
      <c r="DR143" s="104">
        <v>335</v>
      </c>
    </row>
    <row r="144" spans="1:129" ht="37.5">
      <c r="A144" s="13">
        <v>7</v>
      </c>
      <c r="B144" s="13"/>
      <c r="C144" s="14"/>
      <c r="D144" s="15" t="s">
        <v>232</v>
      </c>
      <c r="E144" s="16"/>
      <c r="F144" s="81">
        <v>0</v>
      </c>
      <c r="G144" s="81">
        <v>0</v>
      </c>
      <c r="H144" s="81">
        <v>0</v>
      </c>
      <c r="I144" s="17">
        <v>0</v>
      </c>
      <c r="J144" s="86">
        <v>0</v>
      </c>
      <c r="K144" s="87">
        <v>0</v>
      </c>
      <c r="L144" s="87">
        <v>0</v>
      </c>
      <c r="M144" s="87">
        <f t="shared" si="672"/>
        <v>0</v>
      </c>
      <c r="N144" s="87">
        <v>0</v>
      </c>
      <c r="O144" s="87">
        <v>0</v>
      </c>
      <c r="P144" s="87">
        <v>0</v>
      </c>
      <c r="Q144" s="87">
        <f t="shared" si="716"/>
        <v>0</v>
      </c>
      <c r="R144" s="87">
        <f t="shared" si="674"/>
        <v>0</v>
      </c>
      <c r="S144" s="87">
        <v>0</v>
      </c>
      <c r="V144" s="17">
        <f t="shared" si="717"/>
        <v>0</v>
      </c>
      <c r="W144" s="17">
        <f t="shared" si="718"/>
        <v>0</v>
      </c>
      <c r="X144" s="108">
        <f t="shared" si="642"/>
        <v>0</v>
      </c>
      <c r="Y144" s="108">
        <f t="shared" si="643"/>
        <v>0</v>
      </c>
      <c r="Z144" s="108">
        <v>0</v>
      </c>
      <c r="AA144" s="108"/>
      <c r="AB144" s="108">
        <f t="shared" si="644"/>
        <v>0</v>
      </c>
      <c r="AC144" s="109">
        <f t="shared" si="645"/>
        <v>0</v>
      </c>
      <c r="AD144" s="108">
        <f t="shared" ref="AD144:AD145" si="723">IF(X144&gt;0,V144,R144)</f>
        <v>0</v>
      </c>
      <c r="AE144" s="108">
        <f t="shared" ref="AE144:AE145" si="724">IF(Y144&gt;0,W144,S144)</f>
        <v>0</v>
      </c>
      <c r="AF144" s="108">
        <f t="shared" si="646"/>
        <v>0</v>
      </c>
      <c r="AG144" s="108">
        <f t="shared" si="647"/>
        <v>0</v>
      </c>
      <c r="AH144" s="108">
        <f t="shared" si="648"/>
        <v>0</v>
      </c>
      <c r="AI144" s="127">
        <f t="shared" si="649"/>
        <v>0</v>
      </c>
      <c r="AJ144" s="108">
        <f t="shared" si="650"/>
        <v>0</v>
      </c>
      <c r="AM144" s="108">
        <f t="shared" si="651"/>
        <v>0</v>
      </c>
      <c r="AN144" s="108">
        <f t="shared" si="652"/>
        <v>0</v>
      </c>
      <c r="AQ144" s="108">
        <f t="shared" si="653"/>
        <v>0</v>
      </c>
      <c r="AR144" s="108">
        <f t="shared" si="654"/>
        <v>0</v>
      </c>
      <c r="AU144" s="108">
        <f t="shared" si="497"/>
        <v>0</v>
      </c>
      <c r="AV144" s="108">
        <f t="shared" si="661"/>
        <v>0</v>
      </c>
      <c r="AW144" s="116"/>
      <c r="AX144" s="116"/>
      <c r="AY144" s="108">
        <f t="shared" si="633"/>
        <v>0</v>
      </c>
      <c r="AZ144" s="108">
        <f t="shared" si="634"/>
        <v>0</v>
      </c>
      <c r="BA144" s="108">
        <f t="shared" si="635"/>
        <v>0</v>
      </c>
      <c r="BB144" s="139">
        <v>0</v>
      </c>
      <c r="BD144" s="139">
        <f t="shared" si="636"/>
        <v>0</v>
      </c>
      <c r="BE144" s="139">
        <f t="shared" si="637"/>
        <v>0</v>
      </c>
      <c r="BF144" s="139">
        <f t="shared" si="638"/>
        <v>0</v>
      </c>
      <c r="BG144" s="139">
        <f t="shared" si="639"/>
        <v>0</v>
      </c>
      <c r="BH144" s="108">
        <v>0</v>
      </c>
      <c r="BI144" s="108">
        <v>0</v>
      </c>
      <c r="BL144" s="108">
        <f t="shared" si="662"/>
        <v>0</v>
      </c>
      <c r="BM144" s="108">
        <f t="shared" si="679"/>
        <v>0</v>
      </c>
      <c r="BN144" s="108">
        <f t="shared" si="680"/>
        <v>0</v>
      </c>
      <c r="BO144" s="108">
        <v>0</v>
      </c>
      <c r="BP144" s="127"/>
      <c r="BQ144" s="108">
        <f t="shared" si="681"/>
        <v>0</v>
      </c>
      <c r="BR144" s="108">
        <f t="shared" si="682"/>
        <v>0</v>
      </c>
      <c r="BS144" s="108">
        <f t="shared" si="683"/>
        <v>0</v>
      </c>
      <c r="BT144" s="108">
        <f t="shared" si="684"/>
        <v>0</v>
      </c>
      <c r="BU144" s="108">
        <f t="shared" si="712"/>
        <v>0</v>
      </c>
      <c r="BV144" s="108">
        <v>0</v>
      </c>
      <c r="CA144" s="108">
        <v>0</v>
      </c>
      <c r="CB144" s="108">
        <v>0</v>
      </c>
      <c r="CC144">
        <v>0</v>
      </c>
      <c r="CD144">
        <v>0</v>
      </c>
      <c r="CE144" s="189">
        <v>0</v>
      </c>
      <c r="CF144" s="189">
        <v>0</v>
      </c>
      <c r="CG144" s="189">
        <f t="shared" si="685"/>
        <v>0</v>
      </c>
      <c r="CH144" s="189">
        <f t="shared" si="686"/>
        <v>0</v>
      </c>
      <c r="CI144" s="150"/>
      <c r="CJ144" s="150"/>
      <c r="CK144" s="150">
        <v>0</v>
      </c>
      <c r="CL144" s="150">
        <v>0</v>
      </c>
      <c r="CM144" s="150"/>
      <c r="CN144" s="150"/>
      <c r="CO144" s="150"/>
      <c r="CP144" s="150"/>
      <c r="CQ144" s="150">
        <f t="shared" si="687"/>
        <v>0</v>
      </c>
      <c r="CR144" s="150">
        <f t="shared" si="688"/>
        <v>0</v>
      </c>
      <c r="CS144" s="150">
        <f t="shared" si="689"/>
        <v>0</v>
      </c>
      <c r="CT144" s="150">
        <f t="shared" si="690"/>
        <v>0</v>
      </c>
      <c r="CU144" s="150">
        <v>0</v>
      </c>
      <c r="CV144" s="150">
        <v>0</v>
      </c>
      <c r="CW144" s="150">
        <f t="shared" si="691"/>
        <v>0</v>
      </c>
      <c r="CX144" s="150">
        <f t="shared" si="575"/>
        <v>0</v>
      </c>
      <c r="CY144" s="150"/>
      <c r="CZ144" s="150"/>
      <c r="DA144" s="150">
        <f t="shared" si="692"/>
        <v>0</v>
      </c>
      <c r="DB144" s="150">
        <f t="shared" si="693"/>
        <v>0</v>
      </c>
      <c r="DC144" s="150"/>
      <c r="DD144" s="150">
        <v>0</v>
      </c>
      <c r="DE144" s="150">
        <f t="shared" si="694"/>
        <v>0</v>
      </c>
      <c r="DF144" s="150">
        <f t="shared" si="695"/>
        <v>0</v>
      </c>
      <c r="DG144" s="150">
        <f t="shared" si="721"/>
        <v>0</v>
      </c>
      <c r="DH144" s="150">
        <f t="shared" si="721"/>
        <v>0</v>
      </c>
      <c r="DI144" s="150">
        <f t="shared" si="722"/>
        <v>0</v>
      </c>
      <c r="DJ144" s="150">
        <f t="shared" si="722"/>
        <v>0</v>
      </c>
      <c r="DK144" s="104">
        <f t="shared" si="577"/>
        <v>0</v>
      </c>
      <c r="DL144" s="104">
        <f t="shared" si="578"/>
        <v>0</v>
      </c>
      <c r="DM144" s="104">
        <f t="shared" si="663"/>
        <v>0</v>
      </c>
      <c r="DN144" s="104">
        <f t="shared" si="664"/>
        <v>0</v>
      </c>
      <c r="DO144" s="104">
        <v>0</v>
      </c>
      <c r="DP144" s="104">
        <v>0</v>
      </c>
      <c r="DQ144" s="104">
        <v>0</v>
      </c>
      <c r="DR144" s="104">
        <v>0</v>
      </c>
    </row>
    <row r="145" spans="1:125" ht="37.5">
      <c r="A145" s="13">
        <v>8</v>
      </c>
      <c r="B145" s="13"/>
      <c r="C145" s="14"/>
      <c r="D145" s="15" t="s">
        <v>233</v>
      </c>
      <c r="E145" s="16"/>
      <c r="F145" s="81">
        <v>55.17</v>
      </c>
      <c r="G145" s="81">
        <v>0</v>
      </c>
      <c r="H145" s="81">
        <v>55.17</v>
      </c>
      <c r="I145" s="17">
        <v>0</v>
      </c>
      <c r="J145" s="86">
        <v>48</v>
      </c>
      <c r="K145" s="87">
        <v>0</v>
      </c>
      <c r="L145" s="87">
        <v>0</v>
      </c>
      <c r="M145" s="87">
        <f t="shared" si="672"/>
        <v>48</v>
      </c>
      <c r="N145" s="87"/>
      <c r="O145" s="87"/>
      <c r="P145" s="87"/>
      <c r="Q145" s="87">
        <f t="shared" si="716"/>
        <v>0</v>
      </c>
      <c r="R145" s="87">
        <f t="shared" si="674"/>
        <v>48</v>
      </c>
      <c r="S145" s="87"/>
      <c r="V145" s="17">
        <f t="shared" ref="V145" si="725">ROUND(H145*1.0583,2)</f>
        <v>58.39</v>
      </c>
      <c r="W145" s="17">
        <f t="shared" ref="W145" si="726">ROUND(I145*1.0327,2)</f>
        <v>0</v>
      </c>
      <c r="X145" s="108">
        <f t="shared" si="642"/>
        <v>-10.39</v>
      </c>
      <c r="Y145" s="108">
        <f t="shared" si="643"/>
        <v>0</v>
      </c>
      <c r="Z145" s="108">
        <v>48</v>
      </c>
      <c r="AA145" s="108"/>
      <c r="AB145" s="108">
        <f t="shared" si="644"/>
        <v>48</v>
      </c>
      <c r="AC145" s="109">
        <f t="shared" si="645"/>
        <v>0</v>
      </c>
      <c r="AD145" s="108">
        <f t="shared" si="723"/>
        <v>48</v>
      </c>
      <c r="AE145" s="108">
        <f t="shared" si="724"/>
        <v>0</v>
      </c>
      <c r="AF145" s="108">
        <f t="shared" si="646"/>
        <v>0</v>
      </c>
      <c r="AG145" s="108">
        <f t="shared" si="647"/>
        <v>12</v>
      </c>
      <c r="AH145" s="108">
        <f t="shared" si="648"/>
        <v>0</v>
      </c>
      <c r="AI145" s="127">
        <f t="shared" si="649"/>
        <v>4</v>
      </c>
      <c r="AJ145" s="108">
        <f t="shared" si="650"/>
        <v>0</v>
      </c>
      <c r="AM145" s="108">
        <f t="shared" si="651"/>
        <v>12</v>
      </c>
      <c r="AN145" s="108">
        <f t="shared" si="652"/>
        <v>0</v>
      </c>
      <c r="AQ145" s="108">
        <f t="shared" si="653"/>
        <v>24</v>
      </c>
      <c r="AR145" s="108">
        <f t="shared" si="654"/>
        <v>0</v>
      </c>
      <c r="AU145" s="108">
        <f t="shared" si="497"/>
        <v>12</v>
      </c>
      <c r="AV145" s="108">
        <f t="shared" si="661"/>
        <v>0</v>
      </c>
      <c r="AY145" s="108">
        <f t="shared" si="633"/>
        <v>40</v>
      </c>
      <c r="AZ145" s="108">
        <f t="shared" si="634"/>
        <v>0</v>
      </c>
      <c r="BA145" s="108">
        <f t="shared" si="635"/>
        <v>40</v>
      </c>
      <c r="BB145" s="139">
        <v>40</v>
      </c>
      <c r="BD145" s="139">
        <f t="shared" si="636"/>
        <v>0</v>
      </c>
      <c r="BE145" s="139">
        <f t="shared" si="637"/>
        <v>0</v>
      </c>
      <c r="BF145" s="139">
        <f t="shared" si="638"/>
        <v>8</v>
      </c>
      <c r="BG145" s="139">
        <f t="shared" si="639"/>
        <v>0</v>
      </c>
      <c r="BH145" s="108">
        <v>3</v>
      </c>
      <c r="BI145" s="108">
        <v>0</v>
      </c>
      <c r="BL145" s="108">
        <f t="shared" si="662"/>
        <v>43</v>
      </c>
      <c r="BM145" s="108">
        <f t="shared" si="679"/>
        <v>0</v>
      </c>
      <c r="BN145" s="108">
        <f t="shared" si="680"/>
        <v>43</v>
      </c>
      <c r="BO145" s="108">
        <v>40</v>
      </c>
      <c r="BP145" s="127"/>
      <c r="BQ145" s="108">
        <f t="shared" si="681"/>
        <v>3</v>
      </c>
      <c r="BR145" s="108">
        <f t="shared" si="682"/>
        <v>0</v>
      </c>
      <c r="BS145" s="108">
        <f t="shared" si="683"/>
        <v>3.64</v>
      </c>
      <c r="BT145" s="108">
        <f t="shared" si="684"/>
        <v>0</v>
      </c>
      <c r="BU145" s="108">
        <f t="shared" ref="BU145" si="727">ROUND(BS145-BQ145,2)</f>
        <v>0.64</v>
      </c>
      <c r="BV145" s="108">
        <v>0</v>
      </c>
      <c r="CA145" s="108">
        <v>43.64</v>
      </c>
      <c r="CB145" s="108">
        <v>0</v>
      </c>
      <c r="CC145">
        <v>48</v>
      </c>
      <c r="CD145">
        <v>0</v>
      </c>
      <c r="CE145" s="189">
        <v>4</v>
      </c>
      <c r="CF145" s="189">
        <v>0</v>
      </c>
      <c r="CG145" s="189">
        <f t="shared" si="685"/>
        <v>10.91</v>
      </c>
      <c r="CH145" s="189">
        <f t="shared" si="686"/>
        <v>0</v>
      </c>
      <c r="CI145" s="150"/>
      <c r="CJ145" s="150"/>
      <c r="CK145" s="150">
        <v>0</v>
      </c>
      <c r="CL145" s="150">
        <v>0</v>
      </c>
      <c r="CM145" s="150"/>
      <c r="CN145" s="150"/>
      <c r="CO145" s="150">
        <v>0</v>
      </c>
      <c r="CP145" s="150"/>
      <c r="CQ145" s="150">
        <f t="shared" si="687"/>
        <v>0</v>
      </c>
      <c r="CR145" s="150">
        <f t="shared" si="688"/>
        <v>0</v>
      </c>
      <c r="CS145" s="150">
        <f>IF(CO145&lt;CQ145,CO145,CQ145)+4</f>
        <v>4</v>
      </c>
      <c r="CT145" s="150">
        <f t="shared" si="690"/>
        <v>0</v>
      </c>
      <c r="CU145" s="150">
        <f>4+50</f>
        <v>54</v>
      </c>
      <c r="CV145" s="150">
        <v>0</v>
      </c>
      <c r="CW145" s="150">
        <f>ROUND(CU145*25%,2)-1-12.5</f>
        <v>0</v>
      </c>
      <c r="CX145" s="150">
        <f t="shared" si="575"/>
        <v>0</v>
      </c>
      <c r="CY145" s="150">
        <v>27</v>
      </c>
      <c r="CZ145" s="150"/>
      <c r="DA145" s="150">
        <f t="shared" si="692"/>
        <v>31</v>
      </c>
      <c r="DB145" s="150">
        <f t="shared" si="693"/>
        <v>0</v>
      </c>
      <c r="DC145" s="150">
        <v>31</v>
      </c>
      <c r="DD145" s="150">
        <v>0</v>
      </c>
      <c r="DE145" s="150">
        <f t="shared" si="694"/>
        <v>0</v>
      </c>
      <c r="DF145" s="150">
        <f t="shared" si="695"/>
        <v>0</v>
      </c>
      <c r="DG145" s="150">
        <f t="shared" si="721"/>
        <v>11.5</v>
      </c>
      <c r="DH145" s="150">
        <f t="shared" si="721"/>
        <v>0</v>
      </c>
      <c r="DI145" s="150">
        <f t="shared" si="722"/>
        <v>11.5</v>
      </c>
      <c r="DJ145" s="150">
        <f t="shared" si="722"/>
        <v>0</v>
      </c>
      <c r="DK145" s="104">
        <f t="shared" si="577"/>
        <v>3.5</v>
      </c>
      <c r="DL145" s="104">
        <f t="shared" si="578"/>
        <v>0</v>
      </c>
      <c r="DM145" s="104">
        <f t="shared" si="663"/>
        <v>11.5</v>
      </c>
      <c r="DN145" s="104">
        <f t="shared" si="664"/>
        <v>0</v>
      </c>
      <c r="DO145" s="104">
        <v>46</v>
      </c>
      <c r="DP145" s="104">
        <v>0</v>
      </c>
      <c r="DQ145" s="104">
        <v>60</v>
      </c>
      <c r="DR145" s="104">
        <v>0</v>
      </c>
    </row>
    <row r="146" spans="1:125" ht="18.75">
      <c r="A146" s="18"/>
      <c r="B146" s="18" t="s">
        <v>234</v>
      </c>
      <c r="C146" s="19" t="s">
        <v>85</v>
      </c>
      <c r="D146" s="20" t="s">
        <v>231</v>
      </c>
      <c r="E146" s="21" t="s">
        <v>235</v>
      </c>
      <c r="F146" s="22">
        <v>2834.82</v>
      </c>
      <c r="G146" s="22">
        <v>422.05999999999995</v>
      </c>
      <c r="H146" s="22">
        <v>2834.82</v>
      </c>
      <c r="I146" s="22">
        <v>422.05999999999995</v>
      </c>
      <c r="J146" s="88">
        <f t="shared" ref="J146:AA146" si="728">+J143+J144+J145</f>
        <v>3548</v>
      </c>
      <c r="K146" s="88">
        <f t="shared" si="728"/>
        <v>0</v>
      </c>
      <c r="L146" s="88">
        <f t="shared" si="728"/>
        <v>0</v>
      </c>
      <c r="M146" s="88">
        <f t="shared" si="728"/>
        <v>3548</v>
      </c>
      <c r="N146" s="88">
        <f t="shared" si="728"/>
        <v>0</v>
      </c>
      <c r="O146" s="88">
        <f t="shared" si="728"/>
        <v>0</v>
      </c>
      <c r="P146" s="88">
        <f t="shared" si="728"/>
        <v>0</v>
      </c>
      <c r="Q146" s="88">
        <f t="shared" si="728"/>
        <v>0</v>
      </c>
      <c r="R146" s="88">
        <f t="shared" si="728"/>
        <v>3548</v>
      </c>
      <c r="S146" s="88">
        <f t="shared" si="728"/>
        <v>350</v>
      </c>
      <c r="T146" s="88">
        <f t="shared" si="728"/>
        <v>0</v>
      </c>
      <c r="U146" s="88">
        <f t="shared" si="728"/>
        <v>0</v>
      </c>
      <c r="V146" s="88">
        <f t="shared" si="728"/>
        <v>3000.0899999999997</v>
      </c>
      <c r="W146" s="88">
        <f t="shared" si="728"/>
        <v>435.86</v>
      </c>
      <c r="X146" s="88">
        <f t="shared" si="728"/>
        <v>547.9100000000002</v>
      </c>
      <c r="Y146" s="88">
        <f t="shared" si="728"/>
        <v>-85.860000000000014</v>
      </c>
      <c r="Z146" s="88">
        <f t="shared" si="728"/>
        <v>2989.7</v>
      </c>
      <c r="AA146" s="88">
        <f t="shared" si="728"/>
        <v>0</v>
      </c>
      <c r="AB146" s="22">
        <f t="shared" si="644"/>
        <v>2989.7</v>
      </c>
      <c r="AC146" s="109">
        <f t="shared" si="645"/>
        <v>0</v>
      </c>
      <c r="AD146" s="22">
        <f t="shared" ref="AD146:CO146" si="729">+AD143+AD144+AD145</f>
        <v>2989.7</v>
      </c>
      <c r="AE146" s="22">
        <f t="shared" si="729"/>
        <v>350</v>
      </c>
      <c r="AF146" s="22">
        <f t="shared" si="729"/>
        <v>315.77</v>
      </c>
      <c r="AG146" s="22">
        <f t="shared" si="729"/>
        <v>747</v>
      </c>
      <c r="AH146" s="22">
        <f t="shared" si="729"/>
        <v>88</v>
      </c>
      <c r="AI146" s="118">
        <f t="shared" si="729"/>
        <v>249</v>
      </c>
      <c r="AJ146" s="22">
        <f t="shared" si="729"/>
        <v>29</v>
      </c>
      <c r="AK146" s="22">
        <f t="shared" si="729"/>
        <v>0</v>
      </c>
      <c r="AL146" s="22">
        <f t="shared" si="729"/>
        <v>0</v>
      </c>
      <c r="AM146" s="22">
        <f t="shared" si="729"/>
        <v>747.43</v>
      </c>
      <c r="AN146" s="22">
        <f t="shared" si="729"/>
        <v>85.23</v>
      </c>
      <c r="AO146" s="22">
        <f t="shared" si="729"/>
        <v>0</v>
      </c>
      <c r="AP146" s="22">
        <f t="shared" si="729"/>
        <v>0</v>
      </c>
      <c r="AQ146" s="22">
        <f t="shared" si="729"/>
        <v>1494.4299999999998</v>
      </c>
      <c r="AR146" s="22">
        <f t="shared" si="729"/>
        <v>173.23000000000002</v>
      </c>
      <c r="AS146" s="22">
        <f t="shared" si="729"/>
        <v>0</v>
      </c>
      <c r="AT146" s="22">
        <f t="shared" si="729"/>
        <v>0</v>
      </c>
      <c r="AU146" s="22">
        <f t="shared" si="729"/>
        <v>747.43</v>
      </c>
      <c r="AV146" s="22">
        <f t="shared" si="729"/>
        <v>72.77</v>
      </c>
      <c r="AW146" s="22">
        <f t="shared" si="729"/>
        <v>0</v>
      </c>
      <c r="AX146" s="22">
        <f t="shared" si="729"/>
        <v>27</v>
      </c>
      <c r="AY146" s="22">
        <f t="shared" si="729"/>
        <v>2490.8599999999997</v>
      </c>
      <c r="AZ146" s="22">
        <f t="shared" si="729"/>
        <v>302</v>
      </c>
      <c r="BA146" s="22">
        <f t="shared" si="729"/>
        <v>2792.8599999999997</v>
      </c>
      <c r="BB146" s="22">
        <f t="shared" si="729"/>
        <v>2139.16</v>
      </c>
      <c r="BC146" s="22">
        <f t="shared" si="729"/>
        <v>299.38</v>
      </c>
      <c r="BD146" s="22">
        <f t="shared" si="729"/>
        <v>351.69999999999982</v>
      </c>
      <c r="BE146" s="22">
        <f t="shared" si="729"/>
        <v>2.6200000000000045</v>
      </c>
      <c r="BF146" s="22">
        <f t="shared" si="729"/>
        <v>427.83</v>
      </c>
      <c r="BG146" s="118">
        <f t="shared" si="729"/>
        <v>59.88</v>
      </c>
      <c r="BH146" s="118">
        <f t="shared" si="729"/>
        <v>37.07</v>
      </c>
      <c r="BI146" s="118">
        <f t="shared" si="729"/>
        <v>28.63</v>
      </c>
      <c r="BJ146" s="118">
        <f t="shared" si="729"/>
        <v>0</v>
      </c>
      <c r="BK146" s="118">
        <f t="shared" si="729"/>
        <v>42</v>
      </c>
      <c r="BL146" s="118">
        <f t="shared" si="729"/>
        <v>2527.9299999999998</v>
      </c>
      <c r="BM146" s="118">
        <f t="shared" si="729"/>
        <v>372.63</v>
      </c>
      <c r="BN146" s="118">
        <f t="shared" si="729"/>
        <v>2900.56</v>
      </c>
      <c r="BO146" s="118">
        <f t="shared" si="729"/>
        <v>2323.52</v>
      </c>
      <c r="BP146" s="118">
        <f t="shared" si="729"/>
        <v>363.21</v>
      </c>
      <c r="BQ146" s="22">
        <f t="shared" si="729"/>
        <v>204.40999999999985</v>
      </c>
      <c r="BR146" s="22">
        <f t="shared" si="729"/>
        <v>9.4200000000000159</v>
      </c>
      <c r="BS146" s="22">
        <f t="shared" si="729"/>
        <v>211.23</v>
      </c>
      <c r="BT146" s="22">
        <f t="shared" si="729"/>
        <v>33.020000000000003</v>
      </c>
      <c r="BU146" s="22">
        <f t="shared" si="729"/>
        <v>6.8199999999999994</v>
      </c>
      <c r="BV146" s="22">
        <f t="shared" si="729"/>
        <v>0</v>
      </c>
      <c r="BW146" s="22">
        <f t="shared" si="729"/>
        <v>130</v>
      </c>
      <c r="BX146" s="22">
        <f t="shared" si="729"/>
        <v>25</v>
      </c>
      <c r="BY146" s="22">
        <f t="shared" si="729"/>
        <v>0</v>
      </c>
      <c r="BZ146" s="22">
        <f t="shared" si="729"/>
        <v>0</v>
      </c>
      <c r="CA146" s="22">
        <f t="shared" si="729"/>
        <v>2664.7499999999995</v>
      </c>
      <c r="CB146" s="22">
        <f t="shared" si="729"/>
        <v>397.63</v>
      </c>
      <c r="CC146" s="22">
        <f t="shared" si="729"/>
        <v>2931.22</v>
      </c>
      <c r="CD146" s="118">
        <f t="shared" si="729"/>
        <v>457.27</v>
      </c>
      <c r="CE146" s="190">
        <f t="shared" si="729"/>
        <v>244</v>
      </c>
      <c r="CF146" s="190">
        <f t="shared" si="729"/>
        <v>38</v>
      </c>
      <c r="CG146" s="190">
        <f t="shared" si="729"/>
        <v>666.18999999999994</v>
      </c>
      <c r="CH146" s="190">
        <f t="shared" si="729"/>
        <v>99.41</v>
      </c>
      <c r="CI146" s="190">
        <f t="shared" si="729"/>
        <v>0</v>
      </c>
      <c r="CJ146" s="190">
        <f t="shared" si="729"/>
        <v>0</v>
      </c>
      <c r="CK146" s="190">
        <f t="shared" si="729"/>
        <v>730.5</v>
      </c>
      <c r="CL146" s="190">
        <f t="shared" si="729"/>
        <v>50.3</v>
      </c>
      <c r="CM146" s="190">
        <f t="shared" si="729"/>
        <v>0</v>
      </c>
      <c r="CN146" s="190">
        <f t="shared" si="729"/>
        <v>0</v>
      </c>
      <c r="CO146" s="190">
        <f t="shared" si="729"/>
        <v>3200</v>
      </c>
      <c r="CP146" s="190">
        <f t="shared" ref="CP146:DP146" si="730">+CP143+CP144+CP145</f>
        <v>350</v>
      </c>
      <c r="CQ146" s="190">
        <f t="shared" si="730"/>
        <v>2922</v>
      </c>
      <c r="CR146" s="190">
        <f t="shared" si="730"/>
        <v>201.2</v>
      </c>
      <c r="CS146" s="190">
        <f t="shared" si="730"/>
        <v>2926</v>
      </c>
      <c r="CT146" s="190">
        <f t="shared" si="730"/>
        <v>201.86999999999998</v>
      </c>
      <c r="CU146" s="190">
        <f t="shared" si="730"/>
        <v>2976</v>
      </c>
      <c r="CV146" s="190">
        <f t="shared" si="730"/>
        <v>295</v>
      </c>
      <c r="CW146" s="190">
        <f t="shared" si="730"/>
        <v>730.5</v>
      </c>
      <c r="CX146" s="190">
        <f t="shared" si="730"/>
        <v>73.75</v>
      </c>
      <c r="CY146" s="190">
        <f t="shared" si="730"/>
        <v>27</v>
      </c>
      <c r="CZ146" s="190">
        <f t="shared" si="730"/>
        <v>0</v>
      </c>
      <c r="DA146" s="190">
        <f t="shared" si="730"/>
        <v>1732</v>
      </c>
      <c r="DB146" s="190">
        <f t="shared" si="730"/>
        <v>162.05000000000001</v>
      </c>
      <c r="DC146" s="190">
        <f t="shared" si="730"/>
        <v>1412.63</v>
      </c>
      <c r="DD146" s="190">
        <f t="shared" si="730"/>
        <v>112.58</v>
      </c>
      <c r="DE146" s="190">
        <f t="shared" si="730"/>
        <v>319.36999999999989</v>
      </c>
      <c r="DF146" s="190">
        <f t="shared" si="730"/>
        <v>49.470000000000013</v>
      </c>
      <c r="DG146" s="190">
        <f t="shared" si="730"/>
        <v>742</v>
      </c>
      <c r="DH146" s="190">
        <f t="shared" si="730"/>
        <v>73.75</v>
      </c>
      <c r="DI146" s="190">
        <f t="shared" si="730"/>
        <v>422.63000000000011</v>
      </c>
      <c r="DJ146" s="190">
        <f t="shared" si="730"/>
        <v>24.279999999999987</v>
      </c>
      <c r="DK146" s="104">
        <f t="shared" si="577"/>
        <v>813.36999999999989</v>
      </c>
      <c r="DL146" s="104">
        <f t="shared" si="578"/>
        <v>108.67</v>
      </c>
      <c r="DM146" s="104">
        <f t="shared" si="663"/>
        <v>821.36999999999989</v>
      </c>
      <c r="DN146" s="104">
        <f t="shared" si="664"/>
        <v>108.67</v>
      </c>
      <c r="DO146" s="22">
        <f t="shared" si="730"/>
        <v>2968</v>
      </c>
      <c r="DP146" s="22">
        <f t="shared" si="730"/>
        <v>295</v>
      </c>
      <c r="DQ146" s="22">
        <f t="shared" ref="DQ146:DS146" si="731">+DQ143+DQ144+DQ145</f>
        <v>3360</v>
      </c>
      <c r="DR146" s="22">
        <f t="shared" si="731"/>
        <v>335</v>
      </c>
      <c r="DS146" s="22">
        <f t="shared" si="731"/>
        <v>0</v>
      </c>
    </row>
    <row r="147" spans="1:125" ht="18.75">
      <c r="A147" s="13">
        <v>9</v>
      </c>
      <c r="B147" s="13"/>
      <c r="C147" s="14"/>
      <c r="D147" s="15" t="s">
        <v>236</v>
      </c>
      <c r="E147" s="16"/>
      <c r="F147" s="81">
        <v>13690.599999999999</v>
      </c>
      <c r="G147" s="81">
        <v>16258.989999999998</v>
      </c>
      <c r="H147" s="81">
        <v>13614.599999999999</v>
      </c>
      <c r="I147" s="17">
        <v>16258.989999999998</v>
      </c>
      <c r="J147" s="86">
        <v>15499.7</v>
      </c>
      <c r="K147" s="87">
        <v>0</v>
      </c>
      <c r="L147" s="87">
        <v>0.3</v>
      </c>
      <c r="M147" s="87">
        <f t="shared" si="672"/>
        <v>15500</v>
      </c>
      <c r="N147" s="87">
        <v>0</v>
      </c>
      <c r="O147" s="87">
        <v>0</v>
      </c>
      <c r="P147" s="87">
        <v>0</v>
      </c>
      <c r="Q147" s="87">
        <f t="shared" ref="Q147:Q155" si="732">N147+O147+P147</f>
        <v>0</v>
      </c>
      <c r="R147" s="87">
        <f t="shared" si="674"/>
        <v>15500</v>
      </c>
      <c r="S147" s="87">
        <v>18500</v>
      </c>
      <c r="V147" s="17">
        <f t="shared" ref="V147:V149" si="733">ROUND(H147*1.0583,2)</f>
        <v>14408.33</v>
      </c>
      <c r="W147" s="17">
        <f t="shared" ref="W147:W149" si="734">ROUND(I147*1.0327,2)</f>
        <v>16790.66</v>
      </c>
      <c r="X147" s="108">
        <f t="shared" si="642"/>
        <v>1091.67</v>
      </c>
      <c r="Y147" s="108">
        <f t="shared" si="643"/>
        <v>1709.3400000000001</v>
      </c>
      <c r="Z147" s="108">
        <v>14408.33</v>
      </c>
      <c r="AA147" s="108"/>
      <c r="AB147" s="108">
        <f t="shared" si="644"/>
        <v>14408.33</v>
      </c>
      <c r="AC147" s="109">
        <f t="shared" si="645"/>
        <v>0</v>
      </c>
      <c r="AD147" s="108">
        <f t="shared" ref="AD147" si="735">IF(X147&gt;0,V147,R147)</f>
        <v>14408.33</v>
      </c>
      <c r="AE147" s="108">
        <f t="shared" ref="AE147" si="736">IF(Y147&gt;0,W147,S147)</f>
        <v>16790.66</v>
      </c>
      <c r="AF147" s="108">
        <f t="shared" si="646"/>
        <v>16690.7</v>
      </c>
      <c r="AG147" s="108">
        <f t="shared" si="647"/>
        <v>3602</v>
      </c>
      <c r="AH147" s="108">
        <f t="shared" si="648"/>
        <v>4198</v>
      </c>
      <c r="AI147" s="127">
        <f t="shared" si="649"/>
        <v>1201</v>
      </c>
      <c r="AJ147" s="108">
        <f t="shared" si="650"/>
        <v>1399</v>
      </c>
      <c r="AM147" s="108">
        <f t="shared" si="651"/>
        <v>3602.08</v>
      </c>
      <c r="AN147" s="108">
        <f t="shared" si="652"/>
        <v>4088.53</v>
      </c>
      <c r="AQ147" s="108">
        <f t="shared" si="653"/>
        <v>7204.08</v>
      </c>
      <c r="AR147" s="108">
        <f t="shared" si="654"/>
        <v>8286.5300000000007</v>
      </c>
      <c r="AU147" s="108">
        <f t="shared" si="497"/>
        <v>3602.08</v>
      </c>
      <c r="AV147" s="108">
        <f t="shared" si="661"/>
        <v>4197.67</v>
      </c>
      <c r="AW147" s="116"/>
      <c r="AX147" s="143">
        <v>1000</v>
      </c>
      <c r="AY147" s="116">
        <f t="shared" si="633"/>
        <v>12007.16</v>
      </c>
      <c r="AZ147" s="108">
        <f t="shared" si="634"/>
        <v>14883.2</v>
      </c>
      <c r="BA147" s="108">
        <f t="shared" si="635"/>
        <v>26890.36</v>
      </c>
      <c r="BB147" s="139">
        <v>11384.36</v>
      </c>
      <c r="BC147" s="139">
        <v>14431.39</v>
      </c>
      <c r="BD147" s="139">
        <f t="shared" si="636"/>
        <v>622.79999999999927</v>
      </c>
      <c r="BE147" s="139">
        <f t="shared" si="637"/>
        <v>451.81000000000131</v>
      </c>
      <c r="BF147" s="139">
        <f t="shared" si="638"/>
        <v>2276.87</v>
      </c>
      <c r="BG147" s="139">
        <f t="shared" si="639"/>
        <v>2886.28</v>
      </c>
      <c r="BH147" s="108">
        <v>827.04</v>
      </c>
      <c r="BI147" s="108">
        <v>1165</v>
      </c>
      <c r="BL147" s="108">
        <f t="shared" si="662"/>
        <v>12834.2</v>
      </c>
      <c r="BM147" s="108">
        <f t="shared" si="679"/>
        <v>16048.2</v>
      </c>
      <c r="BN147" s="108">
        <f t="shared" si="680"/>
        <v>28882.400000000001</v>
      </c>
      <c r="BO147" s="108">
        <v>12592.16</v>
      </c>
      <c r="BP147" s="127">
        <v>15992.41</v>
      </c>
      <c r="BQ147" s="108">
        <f t="shared" si="681"/>
        <v>242.04000000000087</v>
      </c>
      <c r="BR147" s="108">
        <f t="shared" si="682"/>
        <v>55.790000000000873</v>
      </c>
      <c r="BS147" s="108">
        <f t="shared" si="683"/>
        <v>1144.74</v>
      </c>
      <c r="BT147" s="108">
        <f t="shared" si="684"/>
        <v>1453.86</v>
      </c>
      <c r="BU147" s="108">
        <f>ROUND(BS147-BQ147,2)</f>
        <v>902.7</v>
      </c>
      <c r="BV147" s="108">
        <f>ROUND(BT147-BR147,2)-39.51</f>
        <v>1358.56</v>
      </c>
      <c r="BW147" s="109">
        <v>200</v>
      </c>
      <c r="BX147" s="108">
        <v>350</v>
      </c>
      <c r="CA147" s="108">
        <v>13936.900000000001</v>
      </c>
      <c r="CB147" s="108">
        <v>17756.760000000002</v>
      </c>
      <c r="CC147">
        <v>15330.59</v>
      </c>
      <c r="CD147">
        <v>20420.27</v>
      </c>
      <c r="CE147" s="189">
        <v>1500</v>
      </c>
      <c r="CF147" s="189">
        <v>2500</v>
      </c>
      <c r="CG147" s="189">
        <f t="shared" si="685"/>
        <v>3484.23</v>
      </c>
      <c r="CH147" s="189">
        <f t="shared" si="686"/>
        <v>4439.1899999999996</v>
      </c>
      <c r="CI147" s="150"/>
      <c r="CJ147" s="150"/>
      <c r="CK147" s="150">
        <v>3900</v>
      </c>
      <c r="CL147" s="150">
        <f>5900-900</f>
        <v>5000</v>
      </c>
      <c r="CM147" s="150"/>
      <c r="CN147" s="150"/>
      <c r="CO147" s="150">
        <v>15300</v>
      </c>
      <c r="CP147" s="150">
        <v>19000</v>
      </c>
      <c r="CQ147" s="150">
        <f t="shared" si="687"/>
        <v>15600</v>
      </c>
      <c r="CR147" s="150">
        <f t="shared" si="688"/>
        <v>20000</v>
      </c>
      <c r="CS147" s="150">
        <f t="shared" si="689"/>
        <v>15300</v>
      </c>
      <c r="CT147" s="150">
        <f t="shared" si="690"/>
        <v>19000</v>
      </c>
      <c r="CU147" s="150">
        <f t="shared" ref="CU147:CU155" si="737">IF(CQ147&lt;CS147,CQ147,CS147)</f>
        <v>15300</v>
      </c>
      <c r="CV147" s="150">
        <f t="shared" ref="CV147:CV155" si="738">IF(CR147&lt;CT147,CR147,CT147)</f>
        <v>19000</v>
      </c>
      <c r="CW147" s="150">
        <f t="shared" si="691"/>
        <v>3825</v>
      </c>
      <c r="CX147" s="150">
        <f t="shared" si="575"/>
        <v>4750</v>
      </c>
      <c r="CY147" s="150"/>
      <c r="CZ147" s="150"/>
      <c r="DA147" s="150">
        <f t="shared" si="692"/>
        <v>9225</v>
      </c>
      <c r="DB147" s="150">
        <f t="shared" si="693"/>
        <v>12250</v>
      </c>
      <c r="DC147" s="150">
        <v>8206.1200000000008</v>
      </c>
      <c r="DD147" s="150">
        <v>12189.88</v>
      </c>
      <c r="DE147" s="150">
        <f t="shared" si="694"/>
        <v>1018.8799999999992</v>
      </c>
      <c r="DF147" s="150">
        <f t="shared" si="695"/>
        <v>60.1200000000008</v>
      </c>
      <c r="DG147" s="150">
        <f t="shared" ref="DG147:DG155" si="739">ROUND(0.25*(MIN(CU147,DO147)),2)</f>
        <v>3825</v>
      </c>
      <c r="DH147" s="150">
        <f t="shared" ref="DH147:DH155" si="740">ROUND(0.25*(MIN(CV147,DP147)),2)</f>
        <v>4750</v>
      </c>
      <c r="DI147" s="150">
        <f t="shared" ref="DI147:DI155" si="741">+DG147-DE147</f>
        <v>2806.1200000000008</v>
      </c>
      <c r="DJ147" s="150">
        <f t="shared" ref="DJ147:DJ155" si="742">+DH147-DF147</f>
        <v>4689.8799999999992</v>
      </c>
      <c r="DK147" s="104">
        <f t="shared" si="577"/>
        <v>3268.8799999999992</v>
      </c>
      <c r="DL147" s="104">
        <f t="shared" si="578"/>
        <v>5060.1200000000008</v>
      </c>
      <c r="DM147" s="104">
        <f t="shared" si="663"/>
        <v>3268.8799999999992</v>
      </c>
      <c r="DN147" s="104">
        <f t="shared" si="664"/>
        <v>2060.1200000000008</v>
      </c>
      <c r="DO147" s="104">
        <v>15300</v>
      </c>
      <c r="DP147" s="104">
        <v>22000</v>
      </c>
      <c r="DQ147" s="104">
        <v>16000</v>
      </c>
      <c r="DR147" s="104">
        <v>23000</v>
      </c>
    </row>
    <row r="148" spans="1:125" ht="37.5">
      <c r="A148" s="13">
        <v>10</v>
      </c>
      <c r="B148" s="13"/>
      <c r="C148" s="14"/>
      <c r="D148" s="15" t="s">
        <v>237</v>
      </c>
      <c r="E148" s="16"/>
      <c r="F148" s="81">
        <v>0</v>
      </c>
      <c r="G148" s="81">
        <v>0</v>
      </c>
      <c r="H148" s="81">
        <v>0</v>
      </c>
      <c r="I148" s="17">
        <v>0</v>
      </c>
      <c r="J148" s="86">
        <v>0</v>
      </c>
      <c r="K148" s="87">
        <v>0</v>
      </c>
      <c r="L148" s="87">
        <v>0</v>
      </c>
      <c r="M148" s="87">
        <f t="shared" si="672"/>
        <v>0</v>
      </c>
      <c r="N148" s="87">
        <v>0</v>
      </c>
      <c r="O148" s="87">
        <v>0</v>
      </c>
      <c r="P148" s="87">
        <v>0</v>
      </c>
      <c r="Q148" s="87">
        <f t="shared" si="732"/>
        <v>0</v>
      </c>
      <c r="R148" s="87">
        <f t="shared" si="674"/>
        <v>0</v>
      </c>
      <c r="S148" s="87">
        <v>0</v>
      </c>
      <c r="V148" s="17">
        <f t="shared" si="733"/>
        <v>0</v>
      </c>
      <c r="W148" s="17">
        <f t="shared" si="734"/>
        <v>0</v>
      </c>
      <c r="X148" s="108">
        <f t="shared" si="642"/>
        <v>0</v>
      </c>
      <c r="Y148" s="108">
        <f t="shared" si="643"/>
        <v>0</v>
      </c>
      <c r="Z148" s="108">
        <v>0</v>
      </c>
      <c r="AA148" s="108"/>
      <c r="AB148" s="108">
        <f t="shared" si="644"/>
        <v>0</v>
      </c>
      <c r="AC148" s="109">
        <f t="shared" si="645"/>
        <v>0</v>
      </c>
      <c r="AD148" s="108">
        <f t="shared" ref="AD148:AD155" si="743">IF(X148&gt;0,V148,R148)</f>
        <v>0</v>
      </c>
      <c r="AE148" s="108">
        <f t="shared" ref="AE148:AE155" si="744">IF(Y148&gt;0,W148,S148)</f>
        <v>0</v>
      </c>
      <c r="AF148" s="108">
        <f t="shared" si="646"/>
        <v>0</v>
      </c>
      <c r="AG148" s="108">
        <f t="shared" si="647"/>
        <v>0</v>
      </c>
      <c r="AH148" s="108">
        <f t="shared" si="648"/>
        <v>0</v>
      </c>
      <c r="AI148" s="127">
        <f t="shared" si="649"/>
        <v>0</v>
      </c>
      <c r="AJ148" s="108">
        <f t="shared" si="650"/>
        <v>0</v>
      </c>
      <c r="AM148" s="108">
        <f t="shared" si="651"/>
        <v>0</v>
      </c>
      <c r="AN148" s="108">
        <f t="shared" si="652"/>
        <v>0</v>
      </c>
      <c r="AQ148" s="108">
        <f t="shared" si="653"/>
        <v>0</v>
      </c>
      <c r="AR148" s="108">
        <f t="shared" si="654"/>
        <v>0</v>
      </c>
      <c r="AU148" s="108">
        <f t="shared" si="497"/>
        <v>0</v>
      </c>
      <c r="AV148" s="108">
        <f t="shared" si="661"/>
        <v>0</v>
      </c>
      <c r="AY148" s="108">
        <f t="shared" si="633"/>
        <v>0</v>
      </c>
      <c r="AZ148" s="108">
        <f t="shared" si="634"/>
        <v>0</v>
      </c>
      <c r="BA148" s="108">
        <f t="shared" si="635"/>
        <v>0</v>
      </c>
      <c r="BB148" s="139">
        <v>0</v>
      </c>
      <c r="BD148" s="139">
        <f t="shared" si="636"/>
        <v>0</v>
      </c>
      <c r="BE148" s="139">
        <f t="shared" si="637"/>
        <v>0</v>
      </c>
      <c r="BF148" s="139">
        <f t="shared" si="638"/>
        <v>0</v>
      </c>
      <c r="BG148" s="139">
        <f t="shared" si="639"/>
        <v>0</v>
      </c>
      <c r="BH148" s="108">
        <v>0</v>
      </c>
      <c r="BI148" s="108">
        <v>0</v>
      </c>
      <c r="BL148" s="108">
        <f t="shared" si="662"/>
        <v>0</v>
      </c>
      <c r="BM148" s="108">
        <f t="shared" si="679"/>
        <v>0</v>
      </c>
      <c r="BN148" s="108">
        <f t="shared" si="680"/>
        <v>0</v>
      </c>
      <c r="BO148" s="108">
        <v>0</v>
      </c>
      <c r="BP148" s="127"/>
      <c r="BQ148" s="108">
        <f t="shared" si="681"/>
        <v>0</v>
      </c>
      <c r="BR148" s="108">
        <f t="shared" si="682"/>
        <v>0</v>
      </c>
      <c r="BS148" s="108">
        <f t="shared" si="683"/>
        <v>0</v>
      </c>
      <c r="BT148" s="108">
        <f t="shared" si="684"/>
        <v>0</v>
      </c>
      <c r="BU148" s="108">
        <f t="shared" ref="BU148:BU183" si="745">BS148-BQ148</f>
        <v>0</v>
      </c>
      <c r="BV148" s="108">
        <f t="shared" ref="BV148:BV155" si="746">ROUND(BT148-BR148,2)</f>
        <v>0</v>
      </c>
      <c r="CA148" s="108">
        <v>0</v>
      </c>
      <c r="CB148" s="108">
        <v>0</v>
      </c>
      <c r="CC148">
        <v>0</v>
      </c>
      <c r="CD148">
        <v>0</v>
      </c>
      <c r="CE148" s="189">
        <v>0</v>
      </c>
      <c r="CF148" s="189">
        <v>0</v>
      </c>
      <c r="CG148" s="189">
        <f t="shared" si="685"/>
        <v>0</v>
      </c>
      <c r="CH148" s="189">
        <f t="shared" si="686"/>
        <v>0</v>
      </c>
      <c r="CI148" s="150"/>
      <c r="CJ148" s="150"/>
      <c r="CK148" s="150"/>
      <c r="CL148" s="150"/>
      <c r="CM148" s="150"/>
      <c r="CN148" s="150"/>
      <c r="CO148" s="150"/>
      <c r="CP148" s="150"/>
      <c r="CQ148" s="150">
        <f t="shared" si="687"/>
        <v>0</v>
      </c>
      <c r="CR148" s="150">
        <f t="shared" si="688"/>
        <v>0</v>
      </c>
      <c r="CS148" s="150">
        <f t="shared" si="689"/>
        <v>0</v>
      </c>
      <c r="CT148" s="150">
        <f t="shared" si="690"/>
        <v>0</v>
      </c>
      <c r="CU148" s="150">
        <f t="shared" si="737"/>
        <v>0</v>
      </c>
      <c r="CV148" s="150">
        <f t="shared" si="738"/>
        <v>0</v>
      </c>
      <c r="CW148" s="150">
        <f t="shared" si="691"/>
        <v>0</v>
      </c>
      <c r="CX148" s="150">
        <f t="shared" si="575"/>
        <v>0</v>
      </c>
      <c r="CY148" s="150"/>
      <c r="CZ148" s="150"/>
      <c r="DA148" s="150">
        <f t="shared" si="692"/>
        <v>0</v>
      </c>
      <c r="DB148" s="150">
        <f t="shared" si="693"/>
        <v>0</v>
      </c>
      <c r="DC148" s="150">
        <v>0</v>
      </c>
      <c r="DD148" s="150">
        <v>0</v>
      </c>
      <c r="DE148" s="150">
        <f t="shared" si="694"/>
        <v>0</v>
      </c>
      <c r="DF148" s="150">
        <f t="shared" si="695"/>
        <v>0</v>
      </c>
      <c r="DG148" s="150">
        <f t="shared" si="739"/>
        <v>0</v>
      </c>
      <c r="DH148" s="150">
        <f t="shared" si="740"/>
        <v>0</v>
      </c>
      <c r="DI148" s="150">
        <f t="shared" si="741"/>
        <v>0</v>
      </c>
      <c r="DJ148" s="150">
        <f t="shared" si="742"/>
        <v>0</v>
      </c>
      <c r="DK148" s="104">
        <f t="shared" si="577"/>
        <v>0</v>
      </c>
      <c r="DL148" s="104">
        <f t="shared" si="578"/>
        <v>0</v>
      </c>
      <c r="DM148" s="104">
        <f t="shared" si="663"/>
        <v>0</v>
      </c>
      <c r="DN148" s="104">
        <f t="shared" si="664"/>
        <v>0</v>
      </c>
      <c r="DO148" s="104">
        <v>0</v>
      </c>
      <c r="DP148" s="104">
        <v>0</v>
      </c>
      <c r="DQ148" s="104">
        <v>0</v>
      </c>
      <c r="DR148" s="104">
        <v>0</v>
      </c>
    </row>
    <row r="149" spans="1:125" ht="37.5">
      <c r="A149" s="13">
        <v>11</v>
      </c>
      <c r="B149" s="13"/>
      <c r="C149" s="14"/>
      <c r="D149" s="15" t="s">
        <v>238</v>
      </c>
      <c r="E149" s="16"/>
      <c r="F149" s="81">
        <v>0</v>
      </c>
      <c r="G149" s="81">
        <v>0</v>
      </c>
      <c r="H149" s="81">
        <v>0</v>
      </c>
      <c r="I149" s="17">
        <v>0</v>
      </c>
      <c r="J149" s="86"/>
      <c r="K149" s="87"/>
      <c r="L149" s="87"/>
      <c r="M149" s="87">
        <f t="shared" si="672"/>
        <v>0</v>
      </c>
      <c r="N149" s="87"/>
      <c r="O149" s="87"/>
      <c r="P149" s="87"/>
      <c r="Q149" s="87">
        <f t="shared" si="732"/>
        <v>0</v>
      </c>
      <c r="R149" s="87">
        <f t="shared" si="674"/>
        <v>0</v>
      </c>
      <c r="S149" s="87"/>
      <c r="V149" s="17">
        <f t="shared" si="733"/>
        <v>0</v>
      </c>
      <c r="W149" s="17">
        <f t="shared" si="734"/>
        <v>0</v>
      </c>
      <c r="X149" s="108">
        <f t="shared" si="642"/>
        <v>0</v>
      </c>
      <c r="Y149" s="108">
        <f t="shared" si="643"/>
        <v>0</v>
      </c>
      <c r="Z149" s="108">
        <v>0</v>
      </c>
      <c r="AA149" s="108"/>
      <c r="AB149" s="108">
        <f t="shared" si="644"/>
        <v>0</v>
      </c>
      <c r="AC149" s="109">
        <f t="shared" si="645"/>
        <v>0</v>
      </c>
      <c r="AD149" s="108">
        <f t="shared" si="743"/>
        <v>0</v>
      </c>
      <c r="AE149" s="108">
        <f t="shared" si="744"/>
        <v>0</v>
      </c>
      <c r="AF149" s="108">
        <f t="shared" si="646"/>
        <v>0</v>
      </c>
      <c r="AG149" s="108">
        <f t="shared" si="647"/>
        <v>0</v>
      </c>
      <c r="AH149" s="108">
        <f t="shared" si="648"/>
        <v>0</v>
      </c>
      <c r="AI149" s="127">
        <f t="shared" si="649"/>
        <v>0</v>
      </c>
      <c r="AJ149" s="108">
        <f t="shared" si="650"/>
        <v>0</v>
      </c>
      <c r="AM149" s="108">
        <f t="shared" si="651"/>
        <v>0</v>
      </c>
      <c r="AN149" s="108">
        <f t="shared" si="652"/>
        <v>0</v>
      </c>
      <c r="AQ149" s="108">
        <f t="shared" si="653"/>
        <v>0</v>
      </c>
      <c r="AR149" s="108">
        <f t="shared" si="654"/>
        <v>0</v>
      </c>
      <c r="AU149" s="108">
        <f t="shared" si="497"/>
        <v>0</v>
      </c>
      <c r="AV149" s="108">
        <f t="shared" si="661"/>
        <v>0</v>
      </c>
      <c r="AY149" s="108">
        <f t="shared" si="633"/>
        <v>0</v>
      </c>
      <c r="AZ149" s="108">
        <f t="shared" si="634"/>
        <v>0</v>
      </c>
      <c r="BA149" s="108">
        <f t="shared" si="635"/>
        <v>0</v>
      </c>
      <c r="BB149" s="139">
        <v>0</v>
      </c>
      <c r="BD149" s="139">
        <f t="shared" si="636"/>
        <v>0</v>
      </c>
      <c r="BE149" s="139">
        <f t="shared" si="637"/>
        <v>0</v>
      </c>
      <c r="BF149" s="139">
        <f t="shared" si="638"/>
        <v>0</v>
      </c>
      <c r="BG149" s="139">
        <f t="shared" si="639"/>
        <v>0</v>
      </c>
      <c r="BH149" s="108">
        <v>0</v>
      </c>
      <c r="BI149" s="108">
        <v>0</v>
      </c>
      <c r="BL149" s="108">
        <f t="shared" si="662"/>
        <v>0</v>
      </c>
      <c r="BM149" s="108">
        <f t="shared" si="679"/>
        <v>0</v>
      </c>
      <c r="BN149" s="108">
        <f t="shared" si="680"/>
        <v>0</v>
      </c>
      <c r="BO149" s="108">
        <v>0</v>
      </c>
      <c r="BP149" s="127"/>
      <c r="BQ149" s="108">
        <f t="shared" si="681"/>
        <v>0</v>
      </c>
      <c r="BR149" s="108">
        <f t="shared" si="682"/>
        <v>0</v>
      </c>
      <c r="BS149" s="108">
        <f t="shared" si="683"/>
        <v>0</v>
      </c>
      <c r="BT149" s="108">
        <f t="shared" si="684"/>
        <v>0</v>
      </c>
      <c r="BU149" s="108">
        <f t="shared" si="745"/>
        <v>0</v>
      </c>
      <c r="BV149" s="108">
        <f t="shared" si="746"/>
        <v>0</v>
      </c>
      <c r="CA149" s="108">
        <v>0</v>
      </c>
      <c r="CB149" s="108">
        <v>0</v>
      </c>
      <c r="CC149">
        <v>0</v>
      </c>
      <c r="CD149">
        <v>0</v>
      </c>
      <c r="CE149" s="189">
        <v>0</v>
      </c>
      <c r="CF149" s="189">
        <v>0</v>
      </c>
      <c r="CG149" s="189">
        <f t="shared" si="685"/>
        <v>0</v>
      </c>
      <c r="CH149" s="189">
        <f t="shared" si="686"/>
        <v>0</v>
      </c>
      <c r="CI149" s="150"/>
      <c r="CJ149" s="150"/>
      <c r="CK149" s="150"/>
      <c r="CL149" s="150"/>
      <c r="CM149" s="150"/>
      <c r="CN149" s="150"/>
      <c r="CO149" s="150"/>
      <c r="CP149" s="150"/>
      <c r="CQ149" s="150">
        <f t="shared" si="687"/>
        <v>0</v>
      </c>
      <c r="CR149" s="150">
        <f t="shared" si="688"/>
        <v>0</v>
      </c>
      <c r="CS149" s="150">
        <f t="shared" si="689"/>
        <v>0</v>
      </c>
      <c r="CT149" s="150">
        <f t="shared" si="690"/>
        <v>0</v>
      </c>
      <c r="CU149" s="150">
        <f t="shared" si="737"/>
        <v>0</v>
      </c>
      <c r="CV149" s="150">
        <f t="shared" si="738"/>
        <v>0</v>
      </c>
      <c r="CW149" s="150">
        <f t="shared" si="691"/>
        <v>0</v>
      </c>
      <c r="CX149" s="150">
        <f t="shared" si="575"/>
        <v>0</v>
      </c>
      <c r="CY149" s="150"/>
      <c r="CZ149" s="150"/>
      <c r="DA149" s="150">
        <f t="shared" si="692"/>
        <v>0</v>
      </c>
      <c r="DB149" s="150">
        <f t="shared" si="693"/>
        <v>0</v>
      </c>
      <c r="DC149" s="150">
        <v>0</v>
      </c>
      <c r="DD149" s="150">
        <v>0</v>
      </c>
      <c r="DE149" s="150">
        <f t="shared" si="694"/>
        <v>0</v>
      </c>
      <c r="DF149" s="150">
        <f t="shared" si="695"/>
        <v>0</v>
      </c>
      <c r="DG149" s="150">
        <f t="shared" si="739"/>
        <v>0</v>
      </c>
      <c r="DH149" s="150">
        <f t="shared" si="740"/>
        <v>0</v>
      </c>
      <c r="DI149" s="150">
        <f t="shared" si="741"/>
        <v>0</v>
      </c>
      <c r="DJ149" s="150">
        <f t="shared" si="742"/>
        <v>0</v>
      </c>
      <c r="DK149" s="104">
        <f t="shared" si="577"/>
        <v>0</v>
      </c>
      <c r="DL149" s="104">
        <f t="shared" si="578"/>
        <v>0</v>
      </c>
      <c r="DM149" s="104">
        <f t="shared" si="663"/>
        <v>0</v>
      </c>
      <c r="DN149" s="104">
        <f t="shared" si="664"/>
        <v>0</v>
      </c>
      <c r="DO149" s="104">
        <v>0</v>
      </c>
      <c r="DP149" s="104">
        <v>0</v>
      </c>
      <c r="DQ149" s="104">
        <v>0</v>
      </c>
      <c r="DR149" s="104">
        <v>0</v>
      </c>
    </row>
    <row r="150" spans="1:125" ht="37.5">
      <c r="A150" s="13">
        <v>12</v>
      </c>
      <c r="B150" s="13"/>
      <c r="C150" s="14"/>
      <c r="D150" s="15" t="s">
        <v>239</v>
      </c>
      <c r="E150" s="16"/>
      <c r="F150" s="81">
        <v>0</v>
      </c>
      <c r="G150" s="81">
        <v>0</v>
      </c>
      <c r="H150" s="81">
        <v>0</v>
      </c>
      <c r="I150" s="17">
        <v>0</v>
      </c>
      <c r="J150" s="86"/>
      <c r="K150" s="87"/>
      <c r="L150" s="87"/>
      <c r="M150" s="87">
        <f t="shared" si="672"/>
        <v>0</v>
      </c>
      <c r="N150" s="87"/>
      <c r="O150" s="87"/>
      <c r="P150" s="87"/>
      <c r="Q150" s="87">
        <f t="shared" si="732"/>
        <v>0</v>
      </c>
      <c r="R150" s="87">
        <f t="shared" si="674"/>
        <v>0</v>
      </c>
      <c r="S150" s="87"/>
      <c r="V150" s="17">
        <f t="shared" ref="V150:V155" si="747">ROUND(H150*1.0583,2)</f>
        <v>0</v>
      </c>
      <c r="W150" s="17">
        <f t="shared" ref="W150:W155" si="748">ROUND(I150*1.0327,2)</f>
        <v>0</v>
      </c>
      <c r="X150" s="108">
        <f t="shared" si="642"/>
        <v>0</v>
      </c>
      <c r="Y150" s="108">
        <f t="shared" si="643"/>
        <v>0</v>
      </c>
      <c r="Z150" s="108">
        <v>0</v>
      </c>
      <c r="AA150" s="108"/>
      <c r="AB150" s="108">
        <f t="shared" si="644"/>
        <v>0</v>
      </c>
      <c r="AC150" s="109">
        <f t="shared" si="645"/>
        <v>0</v>
      </c>
      <c r="AD150" s="108">
        <f t="shared" si="743"/>
        <v>0</v>
      </c>
      <c r="AE150" s="108">
        <f t="shared" si="744"/>
        <v>0</v>
      </c>
      <c r="AF150" s="108">
        <f t="shared" si="646"/>
        <v>0</v>
      </c>
      <c r="AG150" s="108">
        <f t="shared" si="647"/>
        <v>0</v>
      </c>
      <c r="AH150" s="108">
        <f t="shared" si="648"/>
        <v>0</v>
      </c>
      <c r="AI150" s="127">
        <f t="shared" si="649"/>
        <v>0</v>
      </c>
      <c r="AJ150" s="108">
        <f t="shared" si="650"/>
        <v>0</v>
      </c>
      <c r="AM150" s="108">
        <f t="shared" si="651"/>
        <v>0</v>
      </c>
      <c r="AN150" s="108">
        <f t="shared" si="652"/>
        <v>0</v>
      </c>
      <c r="AQ150" s="108">
        <f t="shared" si="653"/>
        <v>0</v>
      </c>
      <c r="AR150" s="108">
        <f t="shared" si="654"/>
        <v>0</v>
      </c>
      <c r="AU150" s="108">
        <f t="shared" si="497"/>
        <v>0</v>
      </c>
      <c r="AV150" s="108">
        <f t="shared" si="661"/>
        <v>0</v>
      </c>
      <c r="AY150" s="108">
        <f t="shared" si="633"/>
        <v>0</v>
      </c>
      <c r="AZ150" s="108">
        <f t="shared" si="634"/>
        <v>0</v>
      </c>
      <c r="BA150" s="108">
        <f t="shared" si="635"/>
        <v>0</v>
      </c>
      <c r="BB150" s="139">
        <v>0</v>
      </c>
      <c r="BD150" s="139">
        <f t="shared" si="636"/>
        <v>0</v>
      </c>
      <c r="BE150" s="139">
        <f t="shared" si="637"/>
        <v>0</v>
      </c>
      <c r="BF150" s="139">
        <f t="shared" si="638"/>
        <v>0</v>
      </c>
      <c r="BG150" s="139">
        <f t="shared" si="639"/>
        <v>0</v>
      </c>
      <c r="BH150" s="108">
        <v>0</v>
      </c>
      <c r="BI150" s="108">
        <v>0</v>
      </c>
      <c r="BL150" s="108">
        <f t="shared" si="662"/>
        <v>0</v>
      </c>
      <c r="BM150" s="108">
        <f t="shared" si="679"/>
        <v>0</v>
      </c>
      <c r="BN150" s="108">
        <f t="shared" si="680"/>
        <v>0</v>
      </c>
      <c r="BO150" s="108">
        <v>0</v>
      </c>
      <c r="BP150" s="127"/>
      <c r="BQ150" s="108">
        <f t="shared" si="681"/>
        <v>0</v>
      </c>
      <c r="BR150" s="108">
        <f t="shared" si="682"/>
        <v>0</v>
      </c>
      <c r="BS150" s="108">
        <f t="shared" si="683"/>
        <v>0</v>
      </c>
      <c r="BT150" s="108">
        <f t="shared" si="684"/>
        <v>0</v>
      </c>
      <c r="BU150" s="108">
        <f t="shared" si="745"/>
        <v>0</v>
      </c>
      <c r="BV150" s="108">
        <f t="shared" si="746"/>
        <v>0</v>
      </c>
      <c r="CA150" s="108">
        <v>0</v>
      </c>
      <c r="CB150" s="108">
        <v>0</v>
      </c>
      <c r="CC150">
        <v>0</v>
      </c>
      <c r="CD150">
        <v>0</v>
      </c>
      <c r="CE150" s="189">
        <v>0</v>
      </c>
      <c r="CF150" s="189">
        <v>0</v>
      </c>
      <c r="CG150" s="189">
        <f t="shared" si="685"/>
        <v>0</v>
      </c>
      <c r="CH150" s="189">
        <f t="shared" si="686"/>
        <v>0</v>
      </c>
      <c r="CI150" s="150"/>
      <c r="CJ150" s="150"/>
      <c r="CK150" s="150"/>
      <c r="CL150" s="150"/>
      <c r="CM150" s="150"/>
      <c r="CN150" s="150"/>
      <c r="CO150" s="150"/>
      <c r="CP150" s="150"/>
      <c r="CQ150" s="150">
        <f t="shared" si="687"/>
        <v>0</v>
      </c>
      <c r="CR150" s="150">
        <f t="shared" si="688"/>
        <v>0</v>
      </c>
      <c r="CS150" s="150">
        <f t="shared" si="689"/>
        <v>0</v>
      </c>
      <c r="CT150" s="150">
        <f t="shared" si="690"/>
        <v>0</v>
      </c>
      <c r="CU150" s="150">
        <f t="shared" si="737"/>
        <v>0</v>
      </c>
      <c r="CV150" s="150">
        <f t="shared" si="738"/>
        <v>0</v>
      </c>
      <c r="CW150" s="150">
        <f t="shared" si="691"/>
        <v>0</v>
      </c>
      <c r="CX150" s="150">
        <f t="shared" si="575"/>
        <v>0</v>
      </c>
      <c r="CY150" s="150"/>
      <c r="CZ150" s="150"/>
      <c r="DA150" s="150">
        <f t="shared" si="692"/>
        <v>0</v>
      </c>
      <c r="DB150" s="150">
        <f t="shared" si="693"/>
        <v>0</v>
      </c>
      <c r="DC150" s="150">
        <v>0</v>
      </c>
      <c r="DD150" s="150">
        <v>0</v>
      </c>
      <c r="DE150" s="150">
        <f t="shared" si="694"/>
        <v>0</v>
      </c>
      <c r="DF150" s="150">
        <f t="shared" si="695"/>
        <v>0</v>
      </c>
      <c r="DG150" s="150">
        <f t="shared" si="739"/>
        <v>0</v>
      </c>
      <c r="DH150" s="150">
        <f t="shared" si="740"/>
        <v>0</v>
      </c>
      <c r="DI150" s="150">
        <f t="shared" si="741"/>
        <v>0</v>
      </c>
      <c r="DJ150" s="150">
        <f t="shared" si="742"/>
        <v>0</v>
      </c>
      <c r="DK150" s="104">
        <f t="shared" si="577"/>
        <v>0</v>
      </c>
      <c r="DL150" s="104">
        <f t="shared" si="578"/>
        <v>0</v>
      </c>
      <c r="DM150" s="104">
        <f t="shared" si="663"/>
        <v>0</v>
      </c>
      <c r="DN150" s="104">
        <f t="shared" si="664"/>
        <v>0</v>
      </c>
      <c r="DO150" s="104">
        <v>0</v>
      </c>
      <c r="DP150" s="104">
        <v>0</v>
      </c>
      <c r="DQ150" s="104">
        <v>0</v>
      </c>
      <c r="DR150" s="104">
        <v>0</v>
      </c>
    </row>
    <row r="151" spans="1:125" ht="18.75">
      <c r="A151" s="13">
        <v>13</v>
      </c>
      <c r="B151" s="13"/>
      <c r="C151" s="14"/>
      <c r="D151" s="15" t="s">
        <v>240</v>
      </c>
      <c r="E151" s="16"/>
      <c r="F151" s="81">
        <v>0</v>
      </c>
      <c r="G151" s="81">
        <v>0</v>
      </c>
      <c r="H151" s="81">
        <v>0</v>
      </c>
      <c r="I151" s="17">
        <v>0</v>
      </c>
      <c r="J151" s="86"/>
      <c r="K151" s="87"/>
      <c r="L151" s="87"/>
      <c r="M151" s="87">
        <f t="shared" si="672"/>
        <v>0</v>
      </c>
      <c r="N151" s="87"/>
      <c r="O151" s="87"/>
      <c r="P151" s="87"/>
      <c r="Q151" s="87">
        <f t="shared" si="732"/>
        <v>0</v>
      </c>
      <c r="R151" s="87">
        <f t="shared" si="674"/>
        <v>0</v>
      </c>
      <c r="S151" s="87"/>
      <c r="V151" s="17">
        <f t="shared" si="747"/>
        <v>0</v>
      </c>
      <c r="W151" s="17">
        <f t="shared" si="748"/>
        <v>0</v>
      </c>
      <c r="X151" s="108">
        <f t="shared" si="642"/>
        <v>0</v>
      </c>
      <c r="Y151" s="108">
        <f t="shared" si="643"/>
        <v>0</v>
      </c>
      <c r="Z151" s="108">
        <v>0</v>
      </c>
      <c r="AA151" s="108"/>
      <c r="AB151" s="108">
        <f t="shared" si="644"/>
        <v>0</v>
      </c>
      <c r="AC151" s="109">
        <f t="shared" si="645"/>
        <v>0</v>
      </c>
      <c r="AD151" s="108">
        <f t="shared" si="743"/>
        <v>0</v>
      </c>
      <c r="AE151" s="108">
        <f t="shared" si="744"/>
        <v>0</v>
      </c>
      <c r="AF151" s="108">
        <f t="shared" si="646"/>
        <v>0</v>
      </c>
      <c r="AG151" s="108">
        <f t="shared" si="647"/>
        <v>0</v>
      </c>
      <c r="AH151" s="108">
        <f t="shared" si="648"/>
        <v>0</v>
      </c>
      <c r="AI151" s="127">
        <f t="shared" si="649"/>
        <v>0</v>
      </c>
      <c r="AJ151" s="108">
        <f t="shared" si="650"/>
        <v>0</v>
      </c>
      <c r="AM151" s="108">
        <f t="shared" si="651"/>
        <v>0</v>
      </c>
      <c r="AN151" s="108">
        <f t="shared" si="652"/>
        <v>0</v>
      </c>
      <c r="AQ151" s="108">
        <f t="shared" si="653"/>
        <v>0</v>
      </c>
      <c r="AR151" s="108">
        <f t="shared" si="654"/>
        <v>0</v>
      </c>
      <c r="AU151" s="108">
        <f t="shared" si="497"/>
        <v>0</v>
      </c>
      <c r="AV151" s="108">
        <f t="shared" si="661"/>
        <v>0</v>
      </c>
      <c r="AY151" s="108">
        <f t="shared" si="633"/>
        <v>0</v>
      </c>
      <c r="AZ151" s="108">
        <f t="shared" si="634"/>
        <v>0</v>
      </c>
      <c r="BA151" s="108">
        <f t="shared" si="635"/>
        <v>0</v>
      </c>
      <c r="BB151" s="139">
        <v>0</v>
      </c>
      <c r="BD151" s="139">
        <f t="shared" si="636"/>
        <v>0</v>
      </c>
      <c r="BE151" s="139">
        <f t="shared" si="637"/>
        <v>0</v>
      </c>
      <c r="BF151" s="139">
        <f t="shared" si="638"/>
        <v>0</v>
      </c>
      <c r="BG151" s="139">
        <f t="shared" si="639"/>
        <v>0</v>
      </c>
      <c r="BH151" s="108">
        <v>0</v>
      </c>
      <c r="BI151" s="108">
        <v>0</v>
      </c>
      <c r="BL151" s="108">
        <f t="shared" si="662"/>
        <v>0</v>
      </c>
      <c r="BM151" s="108">
        <f t="shared" si="679"/>
        <v>0</v>
      </c>
      <c r="BN151" s="108">
        <f t="shared" si="680"/>
        <v>0</v>
      </c>
      <c r="BO151" s="108">
        <v>0</v>
      </c>
      <c r="BP151" s="127"/>
      <c r="BQ151" s="108">
        <f t="shared" si="681"/>
        <v>0</v>
      </c>
      <c r="BR151" s="108">
        <f t="shared" si="682"/>
        <v>0</v>
      </c>
      <c r="BS151" s="108">
        <f t="shared" si="683"/>
        <v>0</v>
      </c>
      <c r="BT151" s="108">
        <f t="shared" si="684"/>
        <v>0</v>
      </c>
      <c r="BU151" s="108">
        <f t="shared" si="745"/>
        <v>0</v>
      </c>
      <c r="BV151" s="108">
        <f t="shared" si="746"/>
        <v>0</v>
      </c>
      <c r="CA151" s="108">
        <v>0</v>
      </c>
      <c r="CB151" s="108">
        <v>0</v>
      </c>
      <c r="CC151">
        <v>0</v>
      </c>
      <c r="CD151">
        <v>0</v>
      </c>
      <c r="CE151" s="189">
        <v>0</v>
      </c>
      <c r="CF151" s="189">
        <v>0</v>
      </c>
      <c r="CG151" s="189">
        <f t="shared" si="685"/>
        <v>0</v>
      </c>
      <c r="CH151" s="189">
        <f t="shared" si="686"/>
        <v>0</v>
      </c>
      <c r="CI151" s="150"/>
      <c r="CJ151" s="150"/>
      <c r="CK151" s="150"/>
      <c r="CL151" s="150"/>
      <c r="CM151" s="150"/>
      <c r="CN151" s="150"/>
      <c r="CO151" s="150"/>
      <c r="CP151" s="150"/>
      <c r="CQ151" s="150">
        <f t="shared" si="687"/>
        <v>0</v>
      </c>
      <c r="CR151" s="150">
        <f t="shared" si="688"/>
        <v>0</v>
      </c>
      <c r="CS151" s="150">
        <f t="shared" si="689"/>
        <v>0</v>
      </c>
      <c r="CT151" s="150">
        <f t="shared" si="690"/>
        <v>0</v>
      </c>
      <c r="CU151" s="150">
        <f t="shared" si="737"/>
        <v>0</v>
      </c>
      <c r="CV151" s="150">
        <f t="shared" si="738"/>
        <v>0</v>
      </c>
      <c r="CW151" s="150">
        <f t="shared" si="691"/>
        <v>0</v>
      </c>
      <c r="CX151" s="150">
        <f t="shared" si="575"/>
        <v>0</v>
      </c>
      <c r="CY151" s="150"/>
      <c r="CZ151" s="150"/>
      <c r="DA151" s="150">
        <f t="shared" si="692"/>
        <v>0</v>
      </c>
      <c r="DB151" s="150">
        <f t="shared" si="693"/>
        <v>0</v>
      </c>
      <c r="DC151" s="150">
        <v>0</v>
      </c>
      <c r="DD151" s="150">
        <v>0</v>
      </c>
      <c r="DE151" s="150">
        <f t="shared" si="694"/>
        <v>0</v>
      </c>
      <c r="DF151" s="150">
        <f t="shared" si="695"/>
        <v>0</v>
      </c>
      <c r="DG151" s="150">
        <f t="shared" si="739"/>
        <v>0</v>
      </c>
      <c r="DH151" s="150">
        <f t="shared" si="740"/>
        <v>0</v>
      </c>
      <c r="DI151" s="150">
        <f t="shared" si="741"/>
        <v>0</v>
      </c>
      <c r="DJ151" s="150">
        <f t="shared" si="742"/>
        <v>0</v>
      </c>
      <c r="DK151" s="104">
        <f t="shared" si="577"/>
        <v>0</v>
      </c>
      <c r="DL151" s="104">
        <f t="shared" si="578"/>
        <v>0</v>
      </c>
      <c r="DM151" s="104">
        <f t="shared" si="663"/>
        <v>0</v>
      </c>
      <c r="DN151" s="104">
        <f t="shared" si="664"/>
        <v>0</v>
      </c>
      <c r="DO151" s="104">
        <v>0</v>
      </c>
      <c r="DP151" s="104">
        <v>0</v>
      </c>
      <c r="DQ151" s="104">
        <v>0</v>
      </c>
      <c r="DR151" s="104">
        <v>0</v>
      </c>
    </row>
    <row r="152" spans="1:125" ht="18.75">
      <c r="A152" s="13">
        <v>14</v>
      </c>
      <c r="B152" s="13"/>
      <c r="C152" s="14"/>
      <c r="D152" s="15" t="s">
        <v>241</v>
      </c>
      <c r="E152" s="16"/>
      <c r="F152" s="81">
        <v>0</v>
      </c>
      <c r="G152" s="81">
        <v>0</v>
      </c>
      <c r="H152" s="81">
        <v>0</v>
      </c>
      <c r="I152" s="17">
        <v>0</v>
      </c>
      <c r="J152" s="86"/>
      <c r="K152" s="87"/>
      <c r="L152" s="87"/>
      <c r="M152" s="87">
        <f t="shared" si="672"/>
        <v>0</v>
      </c>
      <c r="N152" s="87"/>
      <c r="O152" s="87"/>
      <c r="P152" s="87"/>
      <c r="Q152" s="87">
        <f t="shared" si="732"/>
        <v>0</v>
      </c>
      <c r="R152" s="87">
        <f t="shared" si="674"/>
        <v>0</v>
      </c>
      <c r="S152" s="87"/>
      <c r="V152" s="17">
        <f t="shared" si="747"/>
        <v>0</v>
      </c>
      <c r="W152" s="17">
        <f t="shared" si="748"/>
        <v>0</v>
      </c>
      <c r="X152" s="108">
        <f t="shared" si="642"/>
        <v>0</v>
      </c>
      <c r="Y152" s="108">
        <f t="shared" si="643"/>
        <v>0</v>
      </c>
      <c r="Z152" s="108">
        <v>0</v>
      </c>
      <c r="AA152" s="108"/>
      <c r="AB152" s="108">
        <f t="shared" si="644"/>
        <v>0</v>
      </c>
      <c r="AC152" s="109">
        <f t="shared" si="645"/>
        <v>0</v>
      </c>
      <c r="AD152" s="108">
        <f t="shared" si="743"/>
        <v>0</v>
      </c>
      <c r="AE152" s="108">
        <f t="shared" si="744"/>
        <v>0</v>
      </c>
      <c r="AF152" s="108">
        <f t="shared" si="646"/>
        <v>0</v>
      </c>
      <c r="AG152" s="108">
        <f t="shared" si="647"/>
        <v>0</v>
      </c>
      <c r="AH152" s="108">
        <f t="shared" si="648"/>
        <v>0</v>
      </c>
      <c r="AI152" s="127">
        <f t="shared" si="649"/>
        <v>0</v>
      </c>
      <c r="AJ152" s="108">
        <f t="shared" si="650"/>
        <v>0</v>
      </c>
      <c r="AM152" s="108">
        <f t="shared" si="651"/>
        <v>0</v>
      </c>
      <c r="AN152" s="108">
        <f t="shared" si="652"/>
        <v>0</v>
      </c>
      <c r="AQ152" s="108">
        <f t="shared" si="653"/>
        <v>0</v>
      </c>
      <c r="AR152" s="108">
        <f t="shared" si="654"/>
        <v>0</v>
      </c>
      <c r="AU152" s="108">
        <f t="shared" si="497"/>
        <v>0</v>
      </c>
      <c r="AV152" s="108">
        <f t="shared" si="661"/>
        <v>0</v>
      </c>
      <c r="AY152" s="108">
        <f t="shared" si="633"/>
        <v>0</v>
      </c>
      <c r="AZ152" s="108">
        <f t="shared" si="634"/>
        <v>0</v>
      </c>
      <c r="BA152" s="108">
        <f t="shared" si="635"/>
        <v>0</v>
      </c>
      <c r="BB152" s="139">
        <v>0</v>
      </c>
      <c r="BD152" s="139">
        <f t="shared" si="636"/>
        <v>0</v>
      </c>
      <c r="BE152" s="139">
        <f t="shared" si="637"/>
        <v>0</v>
      </c>
      <c r="BF152" s="139">
        <f t="shared" si="638"/>
        <v>0</v>
      </c>
      <c r="BG152" s="139">
        <f t="shared" si="639"/>
        <v>0</v>
      </c>
      <c r="BH152" s="108">
        <v>0</v>
      </c>
      <c r="BI152" s="108">
        <v>0</v>
      </c>
      <c r="BL152" s="108">
        <f t="shared" si="662"/>
        <v>0</v>
      </c>
      <c r="BM152" s="108">
        <f t="shared" si="679"/>
        <v>0</v>
      </c>
      <c r="BN152" s="108">
        <f t="shared" si="680"/>
        <v>0</v>
      </c>
      <c r="BO152" s="108">
        <v>0</v>
      </c>
      <c r="BP152" s="127"/>
      <c r="BQ152" s="108">
        <f t="shared" si="681"/>
        <v>0</v>
      </c>
      <c r="BR152" s="108">
        <f t="shared" si="682"/>
        <v>0</v>
      </c>
      <c r="BS152" s="108">
        <f t="shared" si="683"/>
        <v>0</v>
      </c>
      <c r="BT152" s="108">
        <f t="shared" si="684"/>
        <v>0</v>
      </c>
      <c r="BU152" s="108">
        <f t="shared" si="745"/>
        <v>0</v>
      </c>
      <c r="BV152" s="108">
        <f t="shared" si="746"/>
        <v>0</v>
      </c>
      <c r="CA152" s="108">
        <v>0</v>
      </c>
      <c r="CB152" s="108">
        <v>0</v>
      </c>
      <c r="CC152">
        <v>0</v>
      </c>
      <c r="CD152">
        <v>0</v>
      </c>
      <c r="CE152" s="189">
        <v>0</v>
      </c>
      <c r="CF152" s="189">
        <v>0</v>
      </c>
      <c r="CG152" s="189">
        <f t="shared" si="685"/>
        <v>0</v>
      </c>
      <c r="CH152" s="189">
        <f t="shared" si="686"/>
        <v>0</v>
      </c>
      <c r="CI152" s="150"/>
      <c r="CJ152" s="150"/>
      <c r="CK152" s="150"/>
      <c r="CL152" s="150"/>
      <c r="CM152" s="150"/>
      <c r="CN152" s="150"/>
      <c r="CO152" s="150"/>
      <c r="CP152" s="150"/>
      <c r="CQ152" s="150">
        <f t="shared" si="687"/>
        <v>0</v>
      </c>
      <c r="CR152" s="150">
        <f t="shared" si="688"/>
        <v>0</v>
      </c>
      <c r="CS152" s="150">
        <f t="shared" si="689"/>
        <v>0</v>
      </c>
      <c r="CT152" s="150">
        <f t="shared" si="690"/>
        <v>0</v>
      </c>
      <c r="CU152" s="150">
        <f t="shared" si="737"/>
        <v>0</v>
      </c>
      <c r="CV152" s="150">
        <f t="shared" si="738"/>
        <v>0</v>
      </c>
      <c r="CW152" s="150">
        <f t="shared" si="691"/>
        <v>0</v>
      </c>
      <c r="CX152" s="150">
        <f t="shared" si="575"/>
        <v>0</v>
      </c>
      <c r="CY152" s="150"/>
      <c r="CZ152" s="150"/>
      <c r="DA152" s="150">
        <f t="shared" si="692"/>
        <v>0</v>
      </c>
      <c r="DB152" s="150">
        <f t="shared" si="693"/>
        <v>0</v>
      </c>
      <c r="DC152" s="150">
        <v>0</v>
      </c>
      <c r="DD152" s="150">
        <v>0</v>
      </c>
      <c r="DE152" s="150">
        <f t="shared" si="694"/>
        <v>0</v>
      </c>
      <c r="DF152" s="150">
        <f t="shared" si="695"/>
        <v>0</v>
      </c>
      <c r="DG152" s="150">
        <f t="shared" si="739"/>
        <v>0</v>
      </c>
      <c r="DH152" s="150">
        <f t="shared" si="740"/>
        <v>0</v>
      </c>
      <c r="DI152" s="150">
        <f t="shared" si="741"/>
        <v>0</v>
      </c>
      <c r="DJ152" s="150">
        <f t="shared" si="742"/>
        <v>0</v>
      </c>
      <c r="DK152" s="104">
        <f t="shared" si="577"/>
        <v>0</v>
      </c>
      <c r="DL152" s="104">
        <f t="shared" si="578"/>
        <v>0</v>
      </c>
      <c r="DM152" s="104">
        <f t="shared" si="663"/>
        <v>0</v>
      </c>
      <c r="DN152" s="104">
        <f t="shared" si="664"/>
        <v>0</v>
      </c>
      <c r="DO152" s="104">
        <v>0</v>
      </c>
      <c r="DP152" s="104">
        <v>0</v>
      </c>
      <c r="DQ152" s="104">
        <v>0</v>
      </c>
      <c r="DR152" s="104">
        <v>0</v>
      </c>
    </row>
    <row r="153" spans="1:125" ht="37.5">
      <c r="A153" s="13">
        <v>15</v>
      </c>
      <c r="B153" s="13"/>
      <c r="C153" s="14"/>
      <c r="D153" s="15" t="s">
        <v>242</v>
      </c>
      <c r="E153" s="16"/>
      <c r="F153" s="81">
        <v>0</v>
      </c>
      <c r="G153" s="81">
        <v>0</v>
      </c>
      <c r="H153" s="81">
        <v>0</v>
      </c>
      <c r="I153" s="17">
        <v>0</v>
      </c>
      <c r="J153" s="86"/>
      <c r="K153" s="87"/>
      <c r="L153" s="87"/>
      <c r="M153" s="87">
        <f t="shared" si="672"/>
        <v>0</v>
      </c>
      <c r="N153" s="87"/>
      <c r="O153" s="87"/>
      <c r="P153" s="87"/>
      <c r="Q153" s="87">
        <f t="shared" si="732"/>
        <v>0</v>
      </c>
      <c r="R153" s="87">
        <f t="shared" si="674"/>
        <v>0</v>
      </c>
      <c r="S153" s="87"/>
      <c r="V153" s="17">
        <f t="shared" si="747"/>
        <v>0</v>
      </c>
      <c r="W153" s="17">
        <f t="shared" si="748"/>
        <v>0</v>
      </c>
      <c r="X153" s="108">
        <f t="shared" si="642"/>
        <v>0</v>
      </c>
      <c r="Y153" s="108">
        <f t="shared" si="643"/>
        <v>0</v>
      </c>
      <c r="Z153" s="108">
        <v>0</v>
      </c>
      <c r="AA153" s="108"/>
      <c r="AB153" s="108">
        <f t="shared" si="644"/>
        <v>0</v>
      </c>
      <c r="AC153" s="109">
        <f t="shared" si="645"/>
        <v>0</v>
      </c>
      <c r="AD153" s="108">
        <f t="shared" si="743"/>
        <v>0</v>
      </c>
      <c r="AE153" s="108">
        <f t="shared" si="744"/>
        <v>0</v>
      </c>
      <c r="AF153" s="108">
        <f t="shared" si="646"/>
        <v>0</v>
      </c>
      <c r="AG153" s="108">
        <f t="shared" si="647"/>
        <v>0</v>
      </c>
      <c r="AH153" s="108">
        <f t="shared" si="648"/>
        <v>0</v>
      </c>
      <c r="AI153" s="127">
        <f t="shared" si="649"/>
        <v>0</v>
      </c>
      <c r="AJ153" s="108">
        <f t="shared" si="650"/>
        <v>0</v>
      </c>
      <c r="AM153" s="108">
        <f t="shared" si="651"/>
        <v>0</v>
      </c>
      <c r="AN153" s="108">
        <f t="shared" si="652"/>
        <v>0</v>
      </c>
      <c r="AQ153" s="108">
        <f t="shared" si="653"/>
        <v>0</v>
      </c>
      <c r="AR153" s="108">
        <f t="shared" si="654"/>
        <v>0</v>
      </c>
      <c r="AU153" s="108">
        <f t="shared" si="497"/>
        <v>0</v>
      </c>
      <c r="AV153" s="108">
        <f t="shared" si="661"/>
        <v>0</v>
      </c>
      <c r="AY153" s="108">
        <f t="shared" si="633"/>
        <v>0</v>
      </c>
      <c r="AZ153" s="108">
        <f t="shared" si="634"/>
        <v>0</v>
      </c>
      <c r="BA153" s="108">
        <f t="shared" si="635"/>
        <v>0</v>
      </c>
      <c r="BB153" s="139">
        <v>0</v>
      </c>
      <c r="BD153" s="139">
        <f t="shared" si="636"/>
        <v>0</v>
      </c>
      <c r="BE153" s="139">
        <f t="shared" si="637"/>
        <v>0</v>
      </c>
      <c r="BF153" s="139">
        <f t="shared" si="638"/>
        <v>0</v>
      </c>
      <c r="BG153" s="139">
        <f t="shared" si="639"/>
        <v>0</v>
      </c>
      <c r="BH153" s="108">
        <v>0</v>
      </c>
      <c r="BI153" s="108">
        <v>0</v>
      </c>
      <c r="BL153" s="108">
        <f t="shared" si="662"/>
        <v>0</v>
      </c>
      <c r="BM153" s="108">
        <f t="shared" si="679"/>
        <v>0</v>
      </c>
      <c r="BN153" s="108">
        <f t="shared" si="680"/>
        <v>0</v>
      </c>
      <c r="BO153" s="108">
        <v>0</v>
      </c>
      <c r="BP153" s="127"/>
      <c r="BQ153" s="108">
        <f t="shared" si="681"/>
        <v>0</v>
      </c>
      <c r="BR153" s="108">
        <f t="shared" si="682"/>
        <v>0</v>
      </c>
      <c r="BS153" s="108">
        <f t="shared" si="683"/>
        <v>0</v>
      </c>
      <c r="BT153" s="108">
        <f t="shared" si="684"/>
        <v>0</v>
      </c>
      <c r="BU153" s="108">
        <f t="shared" si="745"/>
        <v>0</v>
      </c>
      <c r="BV153" s="108">
        <f t="shared" si="746"/>
        <v>0</v>
      </c>
      <c r="CA153" s="108">
        <v>0</v>
      </c>
      <c r="CB153" s="108">
        <v>0</v>
      </c>
      <c r="CC153">
        <v>0</v>
      </c>
      <c r="CD153">
        <v>0</v>
      </c>
      <c r="CE153" s="189">
        <v>0</v>
      </c>
      <c r="CF153" s="189">
        <v>0</v>
      </c>
      <c r="CG153" s="189">
        <f t="shared" si="685"/>
        <v>0</v>
      </c>
      <c r="CH153" s="189">
        <f t="shared" si="686"/>
        <v>0</v>
      </c>
      <c r="CI153" s="150"/>
      <c r="CJ153" s="150"/>
      <c r="CK153" s="150"/>
      <c r="CL153" s="150"/>
      <c r="CM153" s="150"/>
      <c r="CN153" s="150"/>
      <c r="CO153" s="150"/>
      <c r="CP153" s="150"/>
      <c r="CQ153" s="150">
        <f t="shared" si="687"/>
        <v>0</v>
      </c>
      <c r="CR153" s="150">
        <f t="shared" si="688"/>
        <v>0</v>
      </c>
      <c r="CS153" s="150">
        <f t="shared" si="689"/>
        <v>0</v>
      </c>
      <c r="CT153" s="150">
        <f t="shared" si="690"/>
        <v>0</v>
      </c>
      <c r="CU153" s="150">
        <f t="shared" si="737"/>
        <v>0</v>
      </c>
      <c r="CV153" s="150">
        <f t="shared" si="738"/>
        <v>0</v>
      </c>
      <c r="CW153" s="150">
        <f t="shared" si="691"/>
        <v>0</v>
      </c>
      <c r="CX153" s="150">
        <f t="shared" si="575"/>
        <v>0</v>
      </c>
      <c r="CY153" s="150"/>
      <c r="CZ153" s="150"/>
      <c r="DA153" s="150">
        <f t="shared" si="692"/>
        <v>0</v>
      </c>
      <c r="DB153" s="150">
        <f t="shared" si="693"/>
        <v>0</v>
      </c>
      <c r="DC153" s="150">
        <v>0</v>
      </c>
      <c r="DD153" s="150">
        <v>0</v>
      </c>
      <c r="DE153" s="150">
        <f t="shared" si="694"/>
        <v>0</v>
      </c>
      <c r="DF153" s="150">
        <f t="shared" si="695"/>
        <v>0</v>
      </c>
      <c r="DG153" s="150">
        <f t="shared" si="739"/>
        <v>0</v>
      </c>
      <c r="DH153" s="150">
        <f t="shared" si="740"/>
        <v>0</v>
      </c>
      <c r="DI153" s="150">
        <f t="shared" si="741"/>
        <v>0</v>
      </c>
      <c r="DJ153" s="150">
        <f t="shared" si="742"/>
        <v>0</v>
      </c>
      <c r="DK153" s="104">
        <f t="shared" si="577"/>
        <v>0</v>
      </c>
      <c r="DL153" s="104">
        <f t="shared" si="578"/>
        <v>0</v>
      </c>
      <c r="DM153" s="104">
        <f t="shared" si="663"/>
        <v>0</v>
      </c>
      <c r="DN153" s="104">
        <f t="shared" si="664"/>
        <v>0</v>
      </c>
      <c r="DO153" s="104">
        <v>0</v>
      </c>
      <c r="DP153" s="104">
        <v>0</v>
      </c>
      <c r="DQ153" s="104">
        <v>0</v>
      </c>
      <c r="DR153" s="104">
        <v>0</v>
      </c>
    </row>
    <row r="154" spans="1:125" ht="37.5">
      <c r="A154" s="13">
        <v>16</v>
      </c>
      <c r="B154" s="13"/>
      <c r="C154" s="14"/>
      <c r="D154" s="15" t="s">
        <v>243</v>
      </c>
      <c r="E154" s="16"/>
      <c r="F154" s="81">
        <v>0</v>
      </c>
      <c r="G154" s="81">
        <v>0</v>
      </c>
      <c r="H154" s="81">
        <v>0</v>
      </c>
      <c r="I154" s="17">
        <v>0</v>
      </c>
      <c r="J154" s="86"/>
      <c r="K154" s="87"/>
      <c r="L154" s="87"/>
      <c r="M154" s="87">
        <f t="shared" si="672"/>
        <v>0</v>
      </c>
      <c r="N154" s="87"/>
      <c r="O154" s="87"/>
      <c r="P154" s="87"/>
      <c r="Q154" s="87">
        <f t="shared" si="732"/>
        <v>0</v>
      </c>
      <c r="R154" s="87">
        <f t="shared" si="674"/>
        <v>0</v>
      </c>
      <c r="S154" s="87"/>
      <c r="V154" s="17">
        <f t="shared" si="747"/>
        <v>0</v>
      </c>
      <c r="W154" s="17">
        <f t="shared" si="748"/>
        <v>0</v>
      </c>
      <c r="X154" s="108">
        <f t="shared" si="642"/>
        <v>0</v>
      </c>
      <c r="Y154" s="108">
        <f t="shared" si="643"/>
        <v>0</v>
      </c>
      <c r="Z154" s="108">
        <v>0</v>
      </c>
      <c r="AA154" s="108"/>
      <c r="AB154" s="108">
        <f t="shared" si="644"/>
        <v>0</v>
      </c>
      <c r="AC154" s="109">
        <f t="shared" si="645"/>
        <v>0</v>
      </c>
      <c r="AD154" s="108">
        <f t="shared" si="743"/>
        <v>0</v>
      </c>
      <c r="AE154" s="108">
        <f t="shared" si="744"/>
        <v>0</v>
      </c>
      <c r="AF154" s="108">
        <f t="shared" si="646"/>
        <v>0</v>
      </c>
      <c r="AG154" s="108">
        <f t="shared" si="647"/>
        <v>0</v>
      </c>
      <c r="AH154" s="108">
        <f t="shared" si="648"/>
        <v>0</v>
      </c>
      <c r="AI154" s="127">
        <f t="shared" si="649"/>
        <v>0</v>
      </c>
      <c r="AJ154" s="108">
        <f t="shared" si="650"/>
        <v>0</v>
      </c>
      <c r="AM154" s="108">
        <f t="shared" si="651"/>
        <v>0</v>
      </c>
      <c r="AN154" s="108">
        <f t="shared" si="652"/>
        <v>0</v>
      </c>
      <c r="AQ154" s="108">
        <f t="shared" si="653"/>
        <v>0</v>
      </c>
      <c r="AR154" s="108">
        <f t="shared" si="654"/>
        <v>0</v>
      </c>
      <c r="AU154" s="108">
        <f t="shared" si="497"/>
        <v>0</v>
      </c>
      <c r="AV154" s="108">
        <f t="shared" si="661"/>
        <v>0</v>
      </c>
      <c r="AY154" s="108">
        <f t="shared" si="633"/>
        <v>0</v>
      </c>
      <c r="AZ154" s="108">
        <f t="shared" si="634"/>
        <v>0</v>
      </c>
      <c r="BA154" s="108">
        <f t="shared" si="635"/>
        <v>0</v>
      </c>
      <c r="BB154" s="139">
        <v>0</v>
      </c>
      <c r="BD154" s="139">
        <f t="shared" si="636"/>
        <v>0</v>
      </c>
      <c r="BE154" s="139">
        <f t="shared" si="637"/>
        <v>0</v>
      </c>
      <c r="BF154" s="139">
        <f t="shared" si="638"/>
        <v>0</v>
      </c>
      <c r="BG154" s="139">
        <f t="shared" si="639"/>
        <v>0</v>
      </c>
      <c r="BH154" s="108">
        <v>0</v>
      </c>
      <c r="BI154" s="108">
        <v>0</v>
      </c>
      <c r="BL154" s="108">
        <f t="shared" si="662"/>
        <v>0</v>
      </c>
      <c r="BM154" s="108">
        <f t="shared" si="679"/>
        <v>0</v>
      </c>
      <c r="BN154" s="108">
        <f t="shared" si="680"/>
        <v>0</v>
      </c>
      <c r="BO154" s="108">
        <v>0</v>
      </c>
      <c r="BP154" s="127"/>
      <c r="BQ154" s="108">
        <f t="shared" si="681"/>
        <v>0</v>
      </c>
      <c r="BR154" s="108">
        <f t="shared" si="682"/>
        <v>0</v>
      </c>
      <c r="BS154" s="108">
        <f t="shared" si="683"/>
        <v>0</v>
      </c>
      <c r="BT154" s="108">
        <f t="shared" si="684"/>
        <v>0</v>
      </c>
      <c r="BU154" s="108">
        <f t="shared" si="745"/>
        <v>0</v>
      </c>
      <c r="BV154" s="108">
        <f t="shared" si="746"/>
        <v>0</v>
      </c>
      <c r="CA154" s="108">
        <v>0</v>
      </c>
      <c r="CB154" s="108">
        <v>0</v>
      </c>
      <c r="CC154">
        <v>0</v>
      </c>
      <c r="CD154">
        <v>0</v>
      </c>
      <c r="CE154" s="189">
        <v>0</v>
      </c>
      <c r="CF154" s="189">
        <v>0</v>
      </c>
      <c r="CG154" s="189">
        <f t="shared" si="685"/>
        <v>0</v>
      </c>
      <c r="CH154" s="189">
        <f t="shared" si="686"/>
        <v>0</v>
      </c>
      <c r="CI154" s="150"/>
      <c r="CJ154" s="150"/>
      <c r="CK154" s="150"/>
      <c r="CL154" s="150"/>
      <c r="CM154" s="150"/>
      <c r="CN154" s="150"/>
      <c r="CO154" s="150"/>
      <c r="CP154" s="150"/>
      <c r="CQ154" s="150">
        <f t="shared" si="687"/>
        <v>0</v>
      </c>
      <c r="CR154" s="150">
        <f t="shared" si="688"/>
        <v>0</v>
      </c>
      <c r="CS154" s="150">
        <f t="shared" si="689"/>
        <v>0</v>
      </c>
      <c r="CT154" s="150">
        <f t="shared" si="690"/>
        <v>0</v>
      </c>
      <c r="CU154" s="150">
        <f t="shared" si="737"/>
        <v>0</v>
      </c>
      <c r="CV154" s="150">
        <f t="shared" si="738"/>
        <v>0</v>
      </c>
      <c r="CW154" s="150">
        <f t="shared" si="691"/>
        <v>0</v>
      </c>
      <c r="CX154" s="150">
        <f t="shared" si="575"/>
        <v>0</v>
      </c>
      <c r="CY154" s="150"/>
      <c r="CZ154" s="150"/>
      <c r="DA154" s="150">
        <f t="shared" si="692"/>
        <v>0</v>
      </c>
      <c r="DB154" s="150">
        <f t="shared" si="693"/>
        <v>0</v>
      </c>
      <c r="DC154" s="150">
        <v>0</v>
      </c>
      <c r="DD154" s="150">
        <v>0</v>
      </c>
      <c r="DE154" s="150">
        <f t="shared" si="694"/>
        <v>0</v>
      </c>
      <c r="DF154" s="150">
        <f t="shared" si="695"/>
        <v>0</v>
      </c>
      <c r="DG154" s="150">
        <f t="shared" si="739"/>
        <v>0</v>
      </c>
      <c r="DH154" s="150">
        <f t="shared" si="740"/>
        <v>0</v>
      </c>
      <c r="DI154" s="150">
        <f t="shared" si="741"/>
        <v>0</v>
      </c>
      <c r="DJ154" s="150">
        <f t="shared" si="742"/>
        <v>0</v>
      </c>
      <c r="DK154" s="104">
        <f t="shared" si="577"/>
        <v>0</v>
      </c>
      <c r="DL154" s="104">
        <f t="shared" si="578"/>
        <v>0</v>
      </c>
      <c r="DM154" s="104">
        <f t="shared" si="663"/>
        <v>0</v>
      </c>
      <c r="DN154" s="104">
        <f t="shared" si="664"/>
        <v>0</v>
      </c>
      <c r="DO154" s="104">
        <v>0</v>
      </c>
      <c r="DP154" s="104">
        <v>0</v>
      </c>
      <c r="DQ154" s="104">
        <v>0</v>
      </c>
      <c r="DR154" s="104">
        <v>0</v>
      </c>
    </row>
    <row r="155" spans="1:125" ht="18.75">
      <c r="A155" s="13">
        <v>17</v>
      </c>
      <c r="B155" s="13"/>
      <c r="C155" s="14"/>
      <c r="D155" s="15" t="s">
        <v>244</v>
      </c>
      <c r="E155" s="16"/>
      <c r="F155" s="81">
        <v>0</v>
      </c>
      <c r="G155" s="81">
        <v>0</v>
      </c>
      <c r="H155" s="81">
        <v>0</v>
      </c>
      <c r="I155" s="17">
        <v>0</v>
      </c>
      <c r="J155" s="86"/>
      <c r="K155" s="87"/>
      <c r="L155" s="87"/>
      <c r="M155" s="87">
        <f t="shared" si="672"/>
        <v>0</v>
      </c>
      <c r="N155" s="87"/>
      <c r="O155" s="87"/>
      <c r="P155" s="87"/>
      <c r="Q155" s="87">
        <f t="shared" si="732"/>
        <v>0</v>
      </c>
      <c r="R155" s="87">
        <f t="shared" si="674"/>
        <v>0</v>
      </c>
      <c r="S155" s="87"/>
      <c r="V155" s="17">
        <f t="shared" si="747"/>
        <v>0</v>
      </c>
      <c r="W155" s="17">
        <f t="shared" si="748"/>
        <v>0</v>
      </c>
      <c r="X155" s="108">
        <f t="shared" si="642"/>
        <v>0</v>
      </c>
      <c r="Y155" s="108">
        <f t="shared" si="643"/>
        <v>0</v>
      </c>
      <c r="Z155" s="108">
        <v>0</v>
      </c>
      <c r="AA155" s="108"/>
      <c r="AB155" s="108">
        <f t="shared" si="644"/>
        <v>0</v>
      </c>
      <c r="AC155" s="109">
        <f t="shared" si="645"/>
        <v>0</v>
      </c>
      <c r="AD155" s="108">
        <f t="shared" si="743"/>
        <v>0</v>
      </c>
      <c r="AE155" s="108">
        <f t="shared" si="744"/>
        <v>0</v>
      </c>
      <c r="AF155" s="108">
        <f t="shared" si="646"/>
        <v>0</v>
      </c>
      <c r="AG155" s="108">
        <f t="shared" si="647"/>
        <v>0</v>
      </c>
      <c r="AH155" s="108">
        <f t="shared" si="648"/>
        <v>0</v>
      </c>
      <c r="AI155" s="127">
        <f t="shared" si="649"/>
        <v>0</v>
      </c>
      <c r="AJ155" s="108">
        <f t="shared" si="650"/>
        <v>0</v>
      </c>
      <c r="AM155" s="108">
        <f t="shared" si="651"/>
        <v>0</v>
      </c>
      <c r="AN155" s="108">
        <f t="shared" si="652"/>
        <v>0</v>
      </c>
      <c r="AQ155" s="108">
        <f t="shared" si="653"/>
        <v>0</v>
      </c>
      <c r="AR155" s="108">
        <f t="shared" si="654"/>
        <v>0</v>
      </c>
      <c r="AU155" s="108">
        <f t="shared" ref="AU155:AU218" si="749">ROUND(AD155*25%,2)</f>
        <v>0</v>
      </c>
      <c r="AV155" s="108">
        <f t="shared" si="661"/>
        <v>0</v>
      </c>
      <c r="AY155" s="108">
        <f t="shared" si="633"/>
        <v>0</v>
      </c>
      <c r="AZ155" s="108">
        <f t="shared" si="634"/>
        <v>0</v>
      </c>
      <c r="BA155" s="108">
        <f t="shared" si="635"/>
        <v>0</v>
      </c>
      <c r="BB155" s="139">
        <v>0</v>
      </c>
      <c r="BD155" s="139">
        <f t="shared" si="636"/>
        <v>0</v>
      </c>
      <c r="BE155" s="139">
        <f t="shared" si="637"/>
        <v>0</v>
      </c>
      <c r="BF155" s="139">
        <f t="shared" si="638"/>
        <v>0</v>
      </c>
      <c r="BG155" s="139">
        <f t="shared" si="639"/>
        <v>0</v>
      </c>
      <c r="BH155" s="108">
        <v>0</v>
      </c>
      <c r="BI155" s="108">
        <v>0</v>
      </c>
      <c r="BL155" s="108">
        <f t="shared" si="662"/>
        <v>0</v>
      </c>
      <c r="BM155" s="108">
        <f t="shared" si="679"/>
        <v>0</v>
      </c>
      <c r="BN155" s="108">
        <f t="shared" si="680"/>
        <v>0</v>
      </c>
      <c r="BO155" s="108">
        <v>0</v>
      </c>
      <c r="BP155" s="127"/>
      <c r="BQ155" s="108">
        <f t="shared" si="681"/>
        <v>0</v>
      </c>
      <c r="BR155" s="108">
        <f t="shared" si="682"/>
        <v>0</v>
      </c>
      <c r="BS155" s="108">
        <f t="shared" si="683"/>
        <v>0</v>
      </c>
      <c r="BT155" s="108">
        <f t="shared" si="684"/>
        <v>0</v>
      </c>
      <c r="BU155" s="108">
        <f t="shared" si="745"/>
        <v>0</v>
      </c>
      <c r="BV155" s="108">
        <f t="shared" si="746"/>
        <v>0</v>
      </c>
      <c r="CA155" s="108">
        <v>0</v>
      </c>
      <c r="CB155" s="108">
        <v>0</v>
      </c>
      <c r="CC155">
        <v>0</v>
      </c>
      <c r="CD155">
        <v>0</v>
      </c>
      <c r="CE155" s="189">
        <v>0</v>
      </c>
      <c r="CF155" s="189">
        <v>0</v>
      </c>
      <c r="CG155" s="189">
        <f t="shared" si="685"/>
        <v>0</v>
      </c>
      <c r="CH155" s="189">
        <f t="shared" si="686"/>
        <v>0</v>
      </c>
      <c r="CI155" s="150"/>
      <c r="CJ155" s="150"/>
      <c r="CK155" s="150"/>
      <c r="CL155" s="150"/>
      <c r="CM155" s="150"/>
      <c r="CN155" s="150"/>
      <c r="CO155" s="150"/>
      <c r="CP155" s="150"/>
      <c r="CQ155" s="150">
        <f t="shared" si="687"/>
        <v>0</v>
      </c>
      <c r="CR155" s="150">
        <f t="shared" si="688"/>
        <v>0</v>
      </c>
      <c r="CS155" s="150">
        <f t="shared" si="689"/>
        <v>0</v>
      </c>
      <c r="CT155" s="150">
        <f t="shared" si="690"/>
        <v>0</v>
      </c>
      <c r="CU155" s="150">
        <f t="shared" si="737"/>
        <v>0</v>
      </c>
      <c r="CV155" s="150">
        <f t="shared" si="738"/>
        <v>0</v>
      </c>
      <c r="CW155" s="150">
        <f t="shared" si="691"/>
        <v>0</v>
      </c>
      <c r="CX155" s="150">
        <f t="shared" si="575"/>
        <v>0</v>
      </c>
      <c r="CY155" s="150"/>
      <c r="CZ155" s="150"/>
      <c r="DA155" s="150">
        <f t="shared" si="692"/>
        <v>0</v>
      </c>
      <c r="DB155" s="150">
        <f t="shared" si="693"/>
        <v>0</v>
      </c>
      <c r="DC155" s="150">
        <v>0</v>
      </c>
      <c r="DD155" s="150">
        <v>0</v>
      </c>
      <c r="DE155" s="150">
        <f t="shared" si="694"/>
        <v>0</v>
      </c>
      <c r="DF155" s="150">
        <f t="shared" si="695"/>
        <v>0</v>
      </c>
      <c r="DG155" s="150">
        <f t="shared" si="739"/>
        <v>0</v>
      </c>
      <c r="DH155" s="150">
        <f t="shared" si="740"/>
        <v>0</v>
      </c>
      <c r="DI155" s="150">
        <f t="shared" si="741"/>
        <v>0</v>
      </c>
      <c r="DJ155" s="150">
        <f t="shared" si="742"/>
        <v>0</v>
      </c>
      <c r="DK155" s="104">
        <f t="shared" si="577"/>
        <v>0</v>
      </c>
      <c r="DL155" s="104">
        <f t="shared" si="578"/>
        <v>0</v>
      </c>
      <c r="DM155" s="104">
        <f t="shared" si="663"/>
        <v>0</v>
      </c>
      <c r="DN155" s="104">
        <f t="shared" si="664"/>
        <v>0</v>
      </c>
      <c r="DO155" s="104">
        <v>0</v>
      </c>
      <c r="DP155" s="104">
        <v>0</v>
      </c>
      <c r="DQ155" s="104">
        <v>0</v>
      </c>
      <c r="DR155" s="104">
        <v>0</v>
      </c>
    </row>
    <row r="156" spans="1:125" ht="18.75">
      <c r="A156" s="18"/>
      <c r="B156" s="18" t="s">
        <v>245</v>
      </c>
      <c r="C156" s="19" t="s">
        <v>45</v>
      </c>
      <c r="D156" s="20" t="s">
        <v>236</v>
      </c>
      <c r="E156" s="21" t="s">
        <v>246</v>
      </c>
      <c r="F156" s="22">
        <v>13690.599999999999</v>
      </c>
      <c r="G156" s="22">
        <v>16258.989999999998</v>
      </c>
      <c r="H156" s="22">
        <v>13614.599999999999</v>
      </c>
      <c r="I156" s="22">
        <v>16258.989999999998</v>
      </c>
      <c r="J156" s="88">
        <f t="shared" ref="J156:AA156" si="750">+J147+J148+J150+J149+J151+J152+J153+J154+J155</f>
        <v>15499.7</v>
      </c>
      <c r="K156" s="88">
        <f t="shared" si="750"/>
        <v>0</v>
      </c>
      <c r="L156" s="88">
        <f t="shared" si="750"/>
        <v>0.3</v>
      </c>
      <c r="M156" s="88">
        <f t="shared" si="750"/>
        <v>15500</v>
      </c>
      <c r="N156" s="88">
        <f t="shared" si="750"/>
        <v>0</v>
      </c>
      <c r="O156" s="88">
        <f t="shared" si="750"/>
        <v>0</v>
      </c>
      <c r="P156" s="88">
        <f t="shared" si="750"/>
        <v>0</v>
      </c>
      <c r="Q156" s="88">
        <f t="shared" si="750"/>
        <v>0</v>
      </c>
      <c r="R156" s="88">
        <f t="shared" si="750"/>
        <v>15500</v>
      </c>
      <c r="S156" s="88">
        <f t="shared" si="750"/>
        <v>18500</v>
      </c>
      <c r="T156" s="88">
        <f t="shared" si="750"/>
        <v>0</v>
      </c>
      <c r="U156" s="88">
        <f t="shared" si="750"/>
        <v>0</v>
      </c>
      <c r="V156" s="88">
        <f t="shared" si="750"/>
        <v>14408.33</v>
      </c>
      <c r="W156" s="88">
        <f t="shared" si="750"/>
        <v>16790.66</v>
      </c>
      <c r="X156" s="88">
        <f t="shared" si="750"/>
        <v>1091.67</v>
      </c>
      <c r="Y156" s="88">
        <f t="shared" si="750"/>
        <v>1709.3400000000001</v>
      </c>
      <c r="Z156" s="88">
        <f t="shared" si="750"/>
        <v>14408.33</v>
      </c>
      <c r="AA156" s="88">
        <f t="shared" si="750"/>
        <v>0</v>
      </c>
      <c r="AB156" s="22">
        <f t="shared" si="644"/>
        <v>14408.33</v>
      </c>
      <c r="AC156" s="109">
        <f t="shared" si="645"/>
        <v>0</v>
      </c>
      <c r="AD156" s="22">
        <f t="shared" ref="AD156:CO156" si="751">+AD147+AD148+AD150+AD149+AD151+AD152+AD153+AD154+AD155</f>
        <v>14408.33</v>
      </c>
      <c r="AE156" s="22">
        <f t="shared" si="751"/>
        <v>16790.66</v>
      </c>
      <c r="AF156" s="22">
        <f t="shared" si="751"/>
        <v>16690.7</v>
      </c>
      <c r="AG156" s="22">
        <f t="shared" si="751"/>
        <v>3602</v>
      </c>
      <c r="AH156" s="22">
        <f t="shared" si="751"/>
        <v>4198</v>
      </c>
      <c r="AI156" s="118">
        <f t="shared" si="751"/>
        <v>1201</v>
      </c>
      <c r="AJ156" s="22">
        <f t="shared" si="751"/>
        <v>1399</v>
      </c>
      <c r="AK156" s="22">
        <f t="shared" si="751"/>
        <v>0</v>
      </c>
      <c r="AL156" s="22">
        <f t="shared" si="751"/>
        <v>0</v>
      </c>
      <c r="AM156" s="22">
        <f t="shared" si="751"/>
        <v>3602.08</v>
      </c>
      <c r="AN156" s="22">
        <f t="shared" si="751"/>
        <v>4088.53</v>
      </c>
      <c r="AO156" s="22">
        <f t="shared" si="751"/>
        <v>0</v>
      </c>
      <c r="AP156" s="22">
        <f t="shared" si="751"/>
        <v>0</v>
      </c>
      <c r="AQ156" s="22">
        <f t="shared" si="751"/>
        <v>7204.08</v>
      </c>
      <c r="AR156" s="22">
        <f t="shared" si="751"/>
        <v>8286.5300000000007</v>
      </c>
      <c r="AS156" s="22">
        <f t="shared" si="751"/>
        <v>0</v>
      </c>
      <c r="AT156" s="22">
        <f t="shared" si="751"/>
        <v>0</v>
      </c>
      <c r="AU156" s="22">
        <f t="shared" si="751"/>
        <v>3602.08</v>
      </c>
      <c r="AV156" s="22">
        <f t="shared" si="751"/>
        <v>4197.67</v>
      </c>
      <c r="AW156" s="22">
        <f t="shared" si="751"/>
        <v>0</v>
      </c>
      <c r="AX156" s="22">
        <f t="shared" si="751"/>
        <v>1000</v>
      </c>
      <c r="AY156" s="22">
        <f t="shared" si="751"/>
        <v>12007.16</v>
      </c>
      <c r="AZ156" s="22">
        <f t="shared" si="751"/>
        <v>14883.2</v>
      </c>
      <c r="BA156" s="22">
        <f t="shared" si="751"/>
        <v>26890.36</v>
      </c>
      <c r="BB156" s="22">
        <f t="shared" si="751"/>
        <v>11384.36</v>
      </c>
      <c r="BC156" s="22">
        <f t="shared" si="751"/>
        <v>14431.39</v>
      </c>
      <c r="BD156" s="22">
        <f t="shared" si="751"/>
        <v>622.79999999999927</v>
      </c>
      <c r="BE156" s="22">
        <f t="shared" si="751"/>
        <v>451.81000000000131</v>
      </c>
      <c r="BF156" s="22">
        <f t="shared" si="751"/>
        <v>2276.87</v>
      </c>
      <c r="BG156" s="118">
        <f t="shared" si="751"/>
        <v>2886.28</v>
      </c>
      <c r="BH156" s="118">
        <f t="shared" si="751"/>
        <v>827.04</v>
      </c>
      <c r="BI156" s="118">
        <f t="shared" si="751"/>
        <v>1165</v>
      </c>
      <c r="BJ156" s="118">
        <f t="shared" si="751"/>
        <v>0</v>
      </c>
      <c r="BK156" s="118">
        <f t="shared" si="751"/>
        <v>0</v>
      </c>
      <c r="BL156" s="118">
        <f t="shared" si="751"/>
        <v>12834.2</v>
      </c>
      <c r="BM156" s="118">
        <f t="shared" si="751"/>
        <v>16048.2</v>
      </c>
      <c r="BN156" s="118">
        <f t="shared" si="751"/>
        <v>28882.400000000001</v>
      </c>
      <c r="BO156" s="118">
        <f t="shared" si="751"/>
        <v>12592.16</v>
      </c>
      <c r="BP156" s="118">
        <f t="shared" si="751"/>
        <v>15992.41</v>
      </c>
      <c r="BQ156" s="22">
        <f t="shared" si="751"/>
        <v>242.04000000000087</v>
      </c>
      <c r="BR156" s="22">
        <f t="shared" si="751"/>
        <v>55.790000000000873</v>
      </c>
      <c r="BS156" s="22">
        <f t="shared" si="751"/>
        <v>1144.74</v>
      </c>
      <c r="BT156" s="22">
        <f t="shared" si="751"/>
        <v>1453.86</v>
      </c>
      <c r="BU156" s="22">
        <f t="shared" si="751"/>
        <v>902.7</v>
      </c>
      <c r="BV156" s="22">
        <f t="shared" si="751"/>
        <v>1358.56</v>
      </c>
      <c r="BW156" s="22">
        <f t="shared" si="751"/>
        <v>200</v>
      </c>
      <c r="BX156" s="22">
        <f t="shared" si="751"/>
        <v>350</v>
      </c>
      <c r="BY156" s="22">
        <f t="shared" si="751"/>
        <v>0</v>
      </c>
      <c r="BZ156" s="22">
        <f t="shared" si="751"/>
        <v>0</v>
      </c>
      <c r="CA156" s="22">
        <f t="shared" si="751"/>
        <v>13936.900000000001</v>
      </c>
      <c r="CB156" s="22">
        <f t="shared" si="751"/>
        <v>17756.760000000002</v>
      </c>
      <c r="CC156" s="22">
        <f t="shared" si="751"/>
        <v>15330.59</v>
      </c>
      <c r="CD156" s="118">
        <f t="shared" si="751"/>
        <v>20420.27</v>
      </c>
      <c r="CE156" s="190">
        <f t="shared" si="751"/>
        <v>1500</v>
      </c>
      <c r="CF156" s="190">
        <f t="shared" si="751"/>
        <v>2500</v>
      </c>
      <c r="CG156" s="190">
        <f t="shared" si="751"/>
        <v>3484.23</v>
      </c>
      <c r="CH156" s="190">
        <f t="shared" si="751"/>
        <v>4439.1899999999996</v>
      </c>
      <c r="CI156" s="190">
        <f t="shared" si="751"/>
        <v>0</v>
      </c>
      <c r="CJ156" s="190">
        <f t="shared" si="751"/>
        <v>0</v>
      </c>
      <c r="CK156" s="190">
        <f t="shared" si="751"/>
        <v>3900</v>
      </c>
      <c r="CL156" s="190">
        <f t="shared" si="751"/>
        <v>5000</v>
      </c>
      <c r="CM156" s="190">
        <f t="shared" si="751"/>
        <v>0</v>
      </c>
      <c r="CN156" s="190">
        <f t="shared" si="751"/>
        <v>0</v>
      </c>
      <c r="CO156" s="190">
        <f t="shared" si="751"/>
        <v>15300</v>
      </c>
      <c r="CP156" s="190">
        <f t="shared" ref="CP156:DU156" si="752">+CP147+CP148+CP150+CP149+CP151+CP152+CP153+CP154+CP155</f>
        <v>19000</v>
      </c>
      <c r="CQ156" s="190">
        <f t="shared" si="752"/>
        <v>15600</v>
      </c>
      <c r="CR156" s="190">
        <f t="shared" si="752"/>
        <v>20000</v>
      </c>
      <c r="CS156" s="190">
        <f t="shared" si="752"/>
        <v>15300</v>
      </c>
      <c r="CT156" s="190">
        <f t="shared" si="752"/>
        <v>19000</v>
      </c>
      <c r="CU156" s="190">
        <f t="shared" si="752"/>
        <v>15300</v>
      </c>
      <c r="CV156" s="190">
        <f t="shared" si="752"/>
        <v>19000</v>
      </c>
      <c r="CW156" s="190">
        <f t="shared" si="752"/>
        <v>3825</v>
      </c>
      <c r="CX156" s="190">
        <f t="shared" si="752"/>
        <v>4750</v>
      </c>
      <c r="CY156" s="190">
        <f t="shared" si="752"/>
        <v>0</v>
      </c>
      <c r="CZ156" s="190">
        <f t="shared" si="752"/>
        <v>0</v>
      </c>
      <c r="DA156" s="190">
        <f t="shared" si="752"/>
        <v>9225</v>
      </c>
      <c r="DB156" s="190">
        <f t="shared" si="752"/>
        <v>12250</v>
      </c>
      <c r="DC156" s="190">
        <f t="shared" si="752"/>
        <v>8206.1200000000008</v>
      </c>
      <c r="DD156" s="190">
        <f t="shared" si="752"/>
        <v>12189.88</v>
      </c>
      <c r="DE156" s="190">
        <f t="shared" si="752"/>
        <v>1018.8799999999992</v>
      </c>
      <c r="DF156" s="190">
        <f t="shared" si="752"/>
        <v>60.1200000000008</v>
      </c>
      <c r="DG156" s="190">
        <f t="shared" si="752"/>
        <v>3825</v>
      </c>
      <c r="DH156" s="190">
        <f t="shared" si="752"/>
        <v>4750</v>
      </c>
      <c r="DI156" s="190">
        <f t="shared" si="752"/>
        <v>2806.1200000000008</v>
      </c>
      <c r="DJ156" s="190">
        <f t="shared" si="752"/>
        <v>4689.8799999999992</v>
      </c>
      <c r="DK156" s="104">
        <f t="shared" si="577"/>
        <v>3268.8799999999992</v>
      </c>
      <c r="DL156" s="104">
        <f t="shared" si="578"/>
        <v>5060.1200000000008</v>
      </c>
      <c r="DM156" s="104">
        <f t="shared" si="663"/>
        <v>3268.8799999999992</v>
      </c>
      <c r="DN156" s="104">
        <f t="shared" si="664"/>
        <v>2060.1200000000008</v>
      </c>
      <c r="DO156" s="22">
        <f t="shared" si="752"/>
        <v>15300</v>
      </c>
      <c r="DP156" s="22">
        <f t="shared" si="752"/>
        <v>22000</v>
      </c>
      <c r="DQ156" s="22">
        <f t="shared" si="752"/>
        <v>16000</v>
      </c>
      <c r="DR156" s="22">
        <f t="shared" si="752"/>
        <v>23000</v>
      </c>
      <c r="DS156" s="22">
        <f t="shared" si="752"/>
        <v>0</v>
      </c>
      <c r="DT156" s="22">
        <f t="shared" si="752"/>
        <v>0</v>
      </c>
      <c r="DU156" s="22">
        <f t="shared" si="752"/>
        <v>0</v>
      </c>
    </row>
    <row r="157" spans="1:125" ht="18.75">
      <c r="A157" s="18">
        <v>18</v>
      </c>
      <c r="B157" s="18" t="s">
        <v>247</v>
      </c>
      <c r="C157" s="19" t="s">
        <v>94</v>
      </c>
      <c r="D157" s="20" t="s">
        <v>248</v>
      </c>
      <c r="E157" s="21" t="s">
        <v>249</v>
      </c>
      <c r="F157" s="81">
        <v>814.03</v>
      </c>
      <c r="G157" s="81">
        <v>19.7</v>
      </c>
      <c r="H157" s="81">
        <v>814.03</v>
      </c>
      <c r="I157" s="22">
        <v>19.7</v>
      </c>
      <c r="J157" s="88">
        <v>900</v>
      </c>
      <c r="K157" s="88">
        <v>0</v>
      </c>
      <c r="L157" s="88">
        <v>0</v>
      </c>
      <c r="M157" s="88">
        <f>+J157+L157+K157</f>
        <v>900</v>
      </c>
      <c r="N157" s="88">
        <v>0</v>
      </c>
      <c r="O157" s="88">
        <v>0</v>
      </c>
      <c r="P157" s="88">
        <v>0</v>
      </c>
      <c r="Q157" s="88">
        <f>+N157+P157+O157</f>
        <v>0</v>
      </c>
      <c r="R157" s="88">
        <f>+M157+Q157</f>
        <v>900</v>
      </c>
      <c r="S157" s="88">
        <v>85</v>
      </c>
      <c r="V157" s="22">
        <f t="shared" ref="V157:V159" si="753">ROUND(H157*1.0583,2)</f>
        <v>861.49</v>
      </c>
      <c r="W157" s="22">
        <f t="shared" ref="W157:W159" si="754">ROUND(I157*1.0327,2)</f>
        <v>20.34</v>
      </c>
      <c r="X157" s="22">
        <f t="shared" si="642"/>
        <v>38.509999999999991</v>
      </c>
      <c r="Y157" s="22">
        <f t="shared" si="643"/>
        <v>64.66</v>
      </c>
      <c r="Z157" s="22">
        <v>861.49</v>
      </c>
      <c r="AA157" s="22"/>
      <c r="AB157" s="22">
        <f t="shared" si="644"/>
        <v>861.49</v>
      </c>
      <c r="AC157" s="109">
        <f t="shared" si="645"/>
        <v>0</v>
      </c>
      <c r="AD157" s="22">
        <f t="shared" ref="AD157:AD158" si="755">IF(X157&gt;0,V157,R157)</f>
        <v>861.49</v>
      </c>
      <c r="AE157" s="22">
        <f>IF(Y157&gt;0,W157,S157)+128</f>
        <v>148.34</v>
      </c>
      <c r="AF157" s="22">
        <f t="shared" si="646"/>
        <v>76.69</v>
      </c>
      <c r="AG157" s="108">
        <f t="shared" si="647"/>
        <v>215</v>
      </c>
      <c r="AH157" s="108">
        <v>5</v>
      </c>
      <c r="AI157" s="127">
        <f t="shared" si="649"/>
        <v>72</v>
      </c>
      <c r="AJ157" s="108">
        <v>2</v>
      </c>
      <c r="AL157" s="143">
        <v>74</v>
      </c>
      <c r="AM157" s="108">
        <f t="shared" si="651"/>
        <v>215.37</v>
      </c>
      <c r="AN157" s="108">
        <f>ROUND(AE157*24.35%,2)+0.88</f>
        <v>37</v>
      </c>
      <c r="AQ157" s="108">
        <f t="shared" si="653"/>
        <v>430.37</v>
      </c>
      <c r="AR157" s="108">
        <f t="shared" si="654"/>
        <v>116</v>
      </c>
      <c r="AU157" s="108">
        <f t="shared" si="749"/>
        <v>215.37</v>
      </c>
      <c r="AV157" s="108">
        <f>ROUND(AE157*25%,2)-9.09</f>
        <v>28.000000000000004</v>
      </c>
      <c r="AY157" s="108">
        <f t="shared" si="633"/>
        <v>717.74</v>
      </c>
      <c r="AZ157" s="108">
        <f t="shared" si="634"/>
        <v>146</v>
      </c>
      <c r="BA157" s="108">
        <f t="shared" si="635"/>
        <v>863.74</v>
      </c>
      <c r="BB157" s="139">
        <v>663.39</v>
      </c>
      <c r="BC157" s="139">
        <v>141.47</v>
      </c>
      <c r="BD157" s="139">
        <f t="shared" si="636"/>
        <v>54.350000000000023</v>
      </c>
      <c r="BE157" s="139">
        <f t="shared" si="637"/>
        <v>4.5300000000000011</v>
      </c>
      <c r="BF157" s="139">
        <f t="shared" si="638"/>
        <v>132.68</v>
      </c>
      <c r="BG157" s="139">
        <f t="shared" si="639"/>
        <v>28.29</v>
      </c>
      <c r="BH157" s="108">
        <v>39.17</v>
      </c>
      <c r="BI157" s="108">
        <v>0</v>
      </c>
      <c r="BL157" s="108">
        <f t="shared" si="662"/>
        <v>756.91</v>
      </c>
      <c r="BM157" s="108">
        <f t="shared" si="679"/>
        <v>146</v>
      </c>
      <c r="BN157" s="108">
        <f t="shared" si="680"/>
        <v>902.91</v>
      </c>
      <c r="BO157" s="108">
        <v>736.51</v>
      </c>
      <c r="BP157" s="127">
        <v>143.18</v>
      </c>
      <c r="BQ157" s="108">
        <f t="shared" si="681"/>
        <v>20.399999999999977</v>
      </c>
      <c r="BR157" s="108">
        <f t="shared" si="682"/>
        <v>2.8199999999999932</v>
      </c>
      <c r="BS157" s="108">
        <f t="shared" si="683"/>
        <v>66.959999999999994</v>
      </c>
      <c r="BT157" s="108">
        <f t="shared" si="684"/>
        <v>13.02</v>
      </c>
      <c r="BU157" s="108">
        <f t="shared" si="745"/>
        <v>46.560000000000016</v>
      </c>
      <c r="BV157" s="108">
        <v>0</v>
      </c>
      <c r="BW157" s="109">
        <v>17.53</v>
      </c>
      <c r="CA157" s="108">
        <v>821</v>
      </c>
      <c r="CB157" s="108">
        <v>146</v>
      </c>
      <c r="CC157">
        <v>903.1</v>
      </c>
      <c r="CD157">
        <v>167.9</v>
      </c>
      <c r="CE157" s="189">
        <v>75</v>
      </c>
      <c r="CF157" s="189">
        <v>14</v>
      </c>
      <c r="CG157" s="189">
        <f t="shared" si="685"/>
        <v>205.25</v>
      </c>
      <c r="CH157" s="189">
        <f t="shared" si="686"/>
        <v>36.5</v>
      </c>
      <c r="CI157" s="150"/>
      <c r="CJ157" s="150"/>
      <c r="CK157" s="150">
        <v>230</v>
      </c>
      <c r="CL157" s="150">
        <v>0</v>
      </c>
      <c r="CM157" s="150"/>
      <c r="CN157" s="150"/>
      <c r="CO157" s="150">
        <v>920</v>
      </c>
      <c r="CP157" s="150">
        <v>120</v>
      </c>
      <c r="CQ157" s="150">
        <f t="shared" si="687"/>
        <v>920</v>
      </c>
      <c r="CR157" s="150">
        <f t="shared" si="688"/>
        <v>0</v>
      </c>
      <c r="CS157" s="150">
        <f t="shared" si="689"/>
        <v>920</v>
      </c>
      <c r="CT157" s="150">
        <f>IF(CP157&lt;CR157,CP157,CR157)+120</f>
        <v>120</v>
      </c>
      <c r="CU157" s="150">
        <v>920</v>
      </c>
      <c r="CV157" s="150">
        <v>120</v>
      </c>
      <c r="CW157" s="150">
        <f t="shared" si="691"/>
        <v>230</v>
      </c>
      <c r="CX157" s="150">
        <f>ROUND(CV157*25%,2)-5</f>
        <v>25</v>
      </c>
      <c r="CY157" s="150"/>
      <c r="CZ157" s="150"/>
      <c r="DA157" s="150">
        <f t="shared" si="692"/>
        <v>535</v>
      </c>
      <c r="DB157" s="150">
        <f t="shared" si="693"/>
        <v>39</v>
      </c>
      <c r="DC157" s="150">
        <v>519.03</v>
      </c>
      <c r="DD157" s="150">
        <v>26.02</v>
      </c>
      <c r="DE157" s="150">
        <f t="shared" si="694"/>
        <v>15.970000000000027</v>
      </c>
      <c r="DF157" s="150">
        <f t="shared" si="695"/>
        <v>12.98</v>
      </c>
      <c r="DG157" s="150">
        <f t="shared" ref="DG157:DH159" si="756">ROUND(0.25*(MIN(CU157,DO157)),2)</f>
        <v>230</v>
      </c>
      <c r="DH157" s="150">
        <f t="shared" si="756"/>
        <v>26.2</v>
      </c>
      <c r="DI157" s="150">
        <f>+DG157-DE157</f>
        <v>214.02999999999997</v>
      </c>
      <c r="DJ157" s="150">
        <f>+DH157-DF157</f>
        <v>13.219999999999999</v>
      </c>
      <c r="DK157" s="104">
        <f t="shared" si="577"/>
        <v>200.82000000000005</v>
      </c>
      <c r="DL157" s="104">
        <f t="shared" si="578"/>
        <v>52.56</v>
      </c>
      <c r="DM157" s="104">
        <f t="shared" si="663"/>
        <v>170.97000000000003</v>
      </c>
      <c r="DN157" s="104">
        <f t="shared" si="664"/>
        <v>67.78</v>
      </c>
      <c r="DO157" s="104">
        <v>949.85</v>
      </c>
      <c r="DP157" s="104">
        <v>104.78</v>
      </c>
      <c r="DQ157" s="104">
        <v>1092.32</v>
      </c>
      <c r="DR157" s="104">
        <v>95</v>
      </c>
    </row>
    <row r="158" spans="1:125" ht="18.75">
      <c r="A158" s="13">
        <v>19</v>
      </c>
      <c r="B158" s="13"/>
      <c r="C158" s="14"/>
      <c r="D158" s="15" t="s">
        <v>250</v>
      </c>
      <c r="E158" s="16"/>
      <c r="F158" s="81">
        <v>1077.29</v>
      </c>
      <c r="G158" s="81">
        <v>529.36</v>
      </c>
      <c r="H158" s="81">
        <v>1077.29</v>
      </c>
      <c r="I158" s="17">
        <v>529.36</v>
      </c>
      <c r="J158" s="86">
        <v>1103</v>
      </c>
      <c r="K158" s="87">
        <v>0</v>
      </c>
      <c r="L158" s="87">
        <v>0</v>
      </c>
      <c r="M158" s="87">
        <f t="shared" ref="M158:M159" si="757">J158+K158+L158</f>
        <v>1103</v>
      </c>
      <c r="N158" s="87">
        <v>0</v>
      </c>
      <c r="O158" s="87">
        <v>0</v>
      </c>
      <c r="P158" s="87">
        <v>0</v>
      </c>
      <c r="Q158" s="87">
        <f t="shared" ref="Q158:Q159" si="758">N158+O158+P158</f>
        <v>0</v>
      </c>
      <c r="R158" s="87">
        <f t="shared" ref="R158:R159" si="759">+Q158+M158</f>
        <v>1103</v>
      </c>
      <c r="S158" s="87">
        <v>300</v>
      </c>
      <c r="V158" s="17">
        <f t="shared" si="753"/>
        <v>1140.0999999999999</v>
      </c>
      <c r="W158" s="17">
        <f t="shared" si="754"/>
        <v>546.66999999999996</v>
      </c>
      <c r="X158" s="108">
        <f t="shared" si="642"/>
        <v>-37.099999999999909</v>
      </c>
      <c r="Y158" s="108">
        <f t="shared" si="643"/>
        <v>-246.66999999999996</v>
      </c>
      <c r="Z158" s="108">
        <v>1103</v>
      </c>
      <c r="AA158" s="108"/>
      <c r="AB158" s="108">
        <f t="shared" si="644"/>
        <v>1103</v>
      </c>
      <c r="AC158" s="109">
        <f t="shared" si="645"/>
        <v>0</v>
      </c>
      <c r="AD158" s="108">
        <f t="shared" si="755"/>
        <v>1103</v>
      </c>
      <c r="AE158" s="108">
        <f t="shared" ref="AE158" si="760">IF(Y158&gt;0,W158,S158)</f>
        <v>300</v>
      </c>
      <c r="AF158" s="108">
        <f t="shared" si="646"/>
        <v>270.66000000000003</v>
      </c>
      <c r="AG158" s="108">
        <f t="shared" si="647"/>
        <v>276</v>
      </c>
      <c r="AH158" s="108">
        <f t="shared" si="648"/>
        <v>75</v>
      </c>
      <c r="AI158" s="127">
        <f t="shared" si="649"/>
        <v>92</v>
      </c>
      <c r="AJ158" s="108">
        <f t="shared" si="650"/>
        <v>25</v>
      </c>
      <c r="AM158" s="108">
        <f t="shared" si="651"/>
        <v>275.75</v>
      </c>
      <c r="AN158" s="108">
        <f t="shared" si="652"/>
        <v>73.05</v>
      </c>
      <c r="AQ158" s="108">
        <f t="shared" si="653"/>
        <v>551.75</v>
      </c>
      <c r="AR158" s="108">
        <f t="shared" si="654"/>
        <v>148.05000000000001</v>
      </c>
      <c r="AU158" s="108">
        <f t="shared" si="749"/>
        <v>275.75</v>
      </c>
      <c r="AV158" s="108">
        <f>ROUND(AE158*25%,2)-48.05</f>
        <v>26.950000000000003</v>
      </c>
      <c r="AY158" s="108">
        <f t="shared" si="633"/>
        <v>919.5</v>
      </c>
      <c r="AZ158" s="108">
        <f t="shared" si="634"/>
        <v>200</v>
      </c>
      <c r="BA158" s="108">
        <f t="shared" si="635"/>
        <v>1119.5</v>
      </c>
      <c r="BB158" s="139">
        <v>886.02</v>
      </c>
      <c r="BC158" s="139">
        <v>188.33</v>
      </c>
      <c r="BD158" s="139">
        <f t="shared" si="636"/>
        <v>33.480000000000018</v>
      </c>
      <c r="BE158" s="139">
        <f t="shared" si="637"/>
        <v>11.669999999999987</v>
      </c>
      <c r="BF158" s="139">
        <f t="shared" si="638"/>
        <v>177.2</v>
      </c>
      <c r="BG158" s="139">
        <f t="shared" si="639"/>
        <v>37.67</v>
      </c>
      <c r="BH158" s="108">
        <v>71.86</v>
      </c>
      <c r="BI158" s="143">
        <v>33</v>
      </c>
      <c r="BJ158" s="143"/>
      <c r="BK158" s="143"/>
      <c r="BL158" s="108">
        <f t="shared" si="662"/>
        <v>991.36</v>
      </c>
      <c r="BM158" s="108">
        <f t="shared" si="679"/>
        <v>233</v>
      </c>
      <c r="BN158" s="108">
        <f t="shared" si="680"/>
        <v>1224.3600000000001</v>
      </c>
      <c r="BO158" s="108">
        <v>982.74</v>
      </c>
      <c r="BP158" s="127">
        <v>190.35</v>
      </c>
      <c r="BQ158" s="108">
        <f t="shared" si="681"/>
        <v>8.6200000000000045</v>
      </c>
      <c r="BR158" s="108">
        <f t="shared" si="682"/>
        <v>42.650000000000006</v>
      </c>
      <c r="BS158" s="108">
        <f t="shared" si="683"/>
        <v>89.34</v>
      </c>
      <c r="BT158" s="108">
        <f t="shared" si="684"/>
        <v>17.3</v>
      </c>
      <c r="BU158" s="143">
        <v>95</v>
      </c>
      <c r="BV158" s="109">
        <v>15</v>
      </c>
      <c r="BW158" s="109"/>
      <c r="BX158" s="109">
        <v>42</v>
      </c>
      <c r="BY158" s="109"/>
      <c r="BZ158" s="109"/>
      <c r="CA158" s="108">
        <v>1086.3600000000001</v>
      </c>
      <c r="CB158" s="108">
        <v>290</v>
      </c>
      <c r="CC158">
        <v>1195</v>
      </c>
      <c r="CD158">
        <v>333.5</v>
      </c>
      <c r="CE158" s="189">
        <v>100</v>
      </c>
      <c r="CF158" s="189">
        <v>28</v>
      </c>
      <c r="CG158" s="189">
        <f t="shared" si="685"/>
        <v>271.58999999999997</v>
      </c>
      <c r="CH158" s="189">
        <f t="shared" si="686"/>
        <v>72.5</v>
      </c>
      <c r="CI158" s="150"/>
      <c r="CJ158" s="150"/>
      <c r="CK158" s="150">
        <v>300</v>
      </c>
      <c r="CL158" s="150">
        <f>135-50</f>
        <v>85</v>
      </c>
      <c r="CM158" s="150"/>
      <c r="CN158" s="150">
        <v>50</v>
      </c>
      <c r="CO158" s="150">
        <v>1200</v>
      </c>
      <c r="CP158" s="150">
        <v>250</v>
      </c>
      <c r="CQ158" s="150">
        <f t="shared" si="687"/>
        <v>1200</v>
      </c>
      <c r="CR158" s="150">
        <f t="shared" si="688"/>
        <v>340</v>
      </c>
      <c r="CS158" s="150">
        <f t="shared" si="689"/>
        <v>1200</v>
      </c>
      <c r="CT158" s="150">
        <f t="shared" si="690"/>
        <v>250</v>
      </c>
      <c r="CU158" s="150">
        <f t="shared" ref="CU158:CU159" si="761">IF(CQ158&lt;CS158,CQ158,CS158)</f>
        <v>1200</v>
      </c>
      <c r="CV158" s="150">
        <f t="shared" ref="CV158:CV159" si="762">IF(CR158&lt;CT158,CR158,CT158)</f>
        <v>250</v>
      </c>
      <c r="CW158" s="150">
        <f t="shared" si="691"/>
        <v>300</v>
      </c>
      <c r="CX158" s="150">
        <f>ROUND(CV158*25%,2)-6</f>
        <v>56.5</v>
      </c>
      <c r="CY158" s="150"/>
      <c r="CZ158" s="150"/>
      <c r="DA158" s="150">
        <f t="shared" si="692"/>
        <v>700</v>
      </c>
      <c r="DB158" s="150">
        <f t="shared" si="693"/>
        <v>219.5</v>
      </c>
      <c r="DC158" s="150">
        <v>643.70000000000005</v>
      </c>
      <c r="DD158" s="150">
        <v>158.49</v>
      </c>
      <c r="DE158" s="150">
        <f t="shared" si="694"/>
        <v>56.299999999999955</v>
      </c>
      <c r="DF158" s="150">
        <f t="shared" si="695"/>
        <v>61.009999999999991</v>
      </c>
      <c r="DG158" s="150">
        <f t="shared" si="756"/>
        <v>300</v>
      </c>
      <c r="DH158" s="150">
        <f t="shared" si="756"/>
        <v>45</v>
      </c>
      <c r="DI158" s="150">
        <f>+DG158-DE158</f>
        <v>243.70000000000005</v>
      </c>
      <c r="DJ158" s="150">
        <f>+DH158-DF158+16.01</f>
        <v>0</v>
      </c>
      <c r="DK158" s="104">
        <f t="shared" si="577"/>
        <v>256.29999999999995</v>
      </c>
      <c r="DL158" s="104">
        <f t="shared" si="578"/>
        <v>-39.5</v>
      </c>
      <c r="DM158" s="104">
        <f t="shared" si="663"/>
        <v>256.29999999999995</v>
      </c>
      <c r="DN158" s="104">
        <f t="shared" si="664"/>
        <v>30.5</v>
      </c>
      <c r="DO158" s="104">
        <v>1200</v>
      </c>
      <c r="DP158" s="178">
        <v>180</v>
      </c>
      <c r="DQ158" s="104">
        <v>1280</v>
      </c>
      <c r="DR158" s="104">
        <v>250</v>
      </c>
    </row>
    <row r="159" spans="1:125" ht="37.5">
      <c r="A159" s="13">
        <v>20</v>
      </c>
      <c r="B159" s="13"/>
      <c r="C159" s="14"/>
      <c r="D159" s="15" t="s">
        <v>251</v>
      </c>
      <c r="E159" s="16"/>
      <c r="F159" s="81">
        <v>0</v>
      </c>
      <c r="G159" s="81">
        <v>0</v>
      </c>
      <c r="H159" s="81">
        <v>0</v>
      </c>
      <c r="I159" s="17">
        <v>0</v>
      </c>
      <c r="J159" s="86">
        <v>0</v>
      </c>
      <c r="K159" s="87">
        <v>0</v>
      </c>
      <c r="L159" s="87">
        <v>0</v>
      </c>
      <c r="M159" s="87">
        <f t="shared" si="757"/>
        <v>0</v>
      </c>
      <c r="N159" s="87">
        <v>0</v>
      </c>
      <c r="O159" s="87">
        <v>0</v>
      </c>
      <c r="P159" s="87">
        <v>0</v>
      </c>
      <c r="Q159" s="87">
        <f t="shared" si="758"/>
        <v>0</v>
      </c>
      <c r="R159" s="87">
        <f t="shared" si="759"/>
        <v>0</v>
      </c>
      <c r="S159" s="87">
        <v>0</v>
      </c>
      <c r="V159" s="17">
        <f t="shared" si="753"/>
        <v>0</v>
      </c>
      <c r="W159" s="17">
        <f t="shared" si="754"/>
        <v>0</v>
      </c>
      <c r="X159" s="108">
        <f t="shared" si="642"/>
        <v>0</v>
      </c>
      <c r="Y159" s="108">
        <f t="shared" si="643"/>
        <v>0</v>
      </c>
      <c r="Z159" s="108">
        <v>0</v>
      </c>
      <c r="AA159" s="108"/>
      <c r="AB159" s="108">
        <f t="shared" si="644"/>
        <v>0</v>
      </c>
      <c r="AC159" s="109">
        <f t="shared" si="645"/>
        <v>0</v>
      </c>
      <c r="AD159" s="108">
        <f t="shared" ref="AD159" si="763">IF(X159&gt;0,V159,R159)</f>
        <v>0</v>
      </c>
      <c r="AE159" s="108">
        <f t="shared" ref="AE159" si="764">IF(Y159&gt;0,W159,S159)</f>
        <v>0</v>
      </c>
      <c r="AF159" s="108">
        <f t="shared" si="646"/>
        <v>0</v>
      </c>
      <c r="AG159" s="108">
        <f t="shared" si="647"/>
        <v>0</v>
      </c>
      <c r="AH159" s="108">
        <f t="shared" si="648"/>
        <v>0</v>
      </c>
      <c r="AI159" s="127">
        <f t="shared" si="649"/>
        <v>0</v>
      </c>
      <c r="AJ159" s="108">
        <f t="shared" si="650"/>
        <v>0</v>
      </c>
      <c r="AM159" s="108">
        <f t="shared" si="651"/>
        <v>0</v>
      </c>
      <c r="AN159" s="108">
        <f t="shared" si="652"/>
        <v>0</v>
      </c>
      <c r="AQ159" s="108">
        <f t="shared" si="653"/>
        <v>0</v>
      </c>
      <c r="AR159" s="108">
        <f t="shared" si="654"/>
        <v>0</v>
      </c>
      <c r="AU159" s="108">
        <f t="shared" si="749"/>
        <v>0</v>
      </c>
      <c r="AV159" s="108">
        <f>ROUND(AE159*25%,2)</f>
        <v>0</v>
      </c>
      <c r="AY159" s="108">
        <f t="shared" si="633"/>
        <v>0</v>
      </c>
      <c r="AZ159" s="108">
        <f t="shared" si="634"/>
        <v>0</v>
      </c>
      <c r="BA159" s="108">
        <f t="shared" si="635"/>
        <v>0</v>
      </c>
      <c r="BB159" s="139">
        <v>0</v>
      </c>
      <c r="BD159" s="139">
        <f t="shared" si="636"/>
        <v>0</v>
      </c>
      <c r="BE159" s="139">
        <f t="shared" si="637"/>
        <v>0</v>
      </c>
      <c r="BF159" s="139">
        <f t="shared" si="638"/>
        <v>0</v>
      </c>
      <c r="BG159" s="139">
        <f t="shared" si="639"/>
        <v>0</v>
      </c>
      <c r="BH159" s="108">
        <v>0</v>
      </c>
      <c r="BI159" s="108">
        <v>0</v>
      </c>
      <c r="BL159" s="108">
        <f t="shared" si="662"/>
        <v>0</v>
      </c>
      <c r="BM159" s="108">
        <f t="shared" si="679"/>
        <v>0</v>
      </c>
      <c r="BN159" s="108">
        <f t="shared" si="680"/>
        <v>0</v>
      </c>
      <c r="BO159" s="108">
        <v>0</v>
      </c>
      <c r="BP159" s="127"/>
      <c r="BQ159" s="108">
        <f t="shared" si="681"/>
        <v>0</v>
      </c>
      <c r="BR159" s="108">
        <f t="shared" si="682"/>
        <v>0</v>
      </c>
      <c r="BS159" s="108">
        <f t="shared" si="683"/>
        <v>0</v>
      </c>
      <c r="BT159" s="108">
        <f t="shared" si="684"/>
        <v>0</v>
      </c>
      <c r="BU159" s="108">
        <f t="shared" si="745"/>
        <v>0</v>
      </c>
      <c r="BV159" s="108">
        <v>0</v>
      </c>
      <c r="CA159" s="108">
        <v>0</v>
      </c>
      <c r="CB159" s="108">
        <v>0</v>
      </c>
      <c r="CC159">
        <v>0</v>
      </c>
      <c r="CD159">
        <v>0</v>
      </c>
      <c r="CE159" s="189">
        <v>0</v>
      </c>
      <c r="CF159" s="189">
        <v>0</v>
      </c>
      <c r="CG159" s="189">
        <f t="shared" si="685"/>
        <v>0</v>
      </c>
      <c r="CH159" s="189">
        <f t="shared" si="686"/>
        <v>0</v>
      </c>
      <c r="CI159" s="150"/>
      <c r="CJ159" s="150"/>
      <c r="CK159" s="150">
        <v>0</v>
      </c>
      <c r="CL159" s="150">
        <v>0</v>
      </c>
      <c r="CM159" s="150"/>
      <c r="CN159" s="150"/>
      <c r="CO159" s="150"/>
      <c r="CP159" s="150"/>
      <c r="CQ159" s="150">
        <f t="shared" si="687"/>
        <v>0</v>
      </c>
      <c r="CR159" s="150">
        <f t="shared" si="688"/>
        <v>0</v>
      </c>
      <c r="CS159" s="150">
        <f t="shared" si="689"/>
        <v>0</v>
      </c>
      <c r="CT159" s="150">
        <f t="shared" si="690"/>
        <v>0</v>
      </c>
      <c r="CU159" s="150">
        <f t="shared" si="761"/>
        <v>0</v>
      </c>
      <c r="CV159" s="150">
        <f t="shared" si="762"/>
        <v>0</v>
      </c>
      <c r="CW159" s="150">
        <f t="shared" si="691"/>
        <v>0</v>
      </c>
      <c r="CX159" s="150">
        <f t="shared" si="575"/>
        <v>0</v>
      </c>
      <c r="CY159" s="150"/>
      <c r="CZ159" s="150"/>
      <c r="DA159" s="150">
        <f t="shared" si="692"/>
        <v>0</v>
      </c>
      <c r="DB159" s="150">
        <f t="shared" si="693"/>
        <v>0</v>
      </c>
      <c r="DC159" s="150">
        <v>0</v>
      </c>
      <c r="DD159" s="150">
        <v>0</v>
      </c>
      <c r="DE159" s="150">
        <f t="shared" si="694"/>
        <v>0</v>
      </c>
      <c r="DF159" s="150">
        <f t="shared" si="695"/>
        <v>0</v>
      </c>
      <c r="DG159" s="150">
        <f t="shared" si="756"/>
        <v>0</v>
      </c>
      <c r="DH159" s="150">
        <f t="shared" si="756"/>
        <v>0</v>
      </c>
      <c r="DI159" s="150">
        <f>+DG159-DE159</f>
        <v>0</v>
      </c>
      <c r="DJ159" s="150">
        <f>+DH159-DF159</f>
        <v>0</v>
      </c>
      <c r="DK159" s="104">
        <f t="shared" si="577"/>
        <v>0</v>
      </c>
      <c r="DL159" s="104">
        <f t="shared" si="578"/>
        <v>0</v>
      </c>
      <c r="DM159" s="104">
        <f t="shared" si="663"/>
        <v>0</v>
      </c>
      <c r="DN159" s="104">
        <f t="shared" si="664"/>
        <v>0</v>
      </c>
    </row>
    <row r="160" spans="1:125" ht="18.75">
      <c r="A160" s="18"/>
      <c r="B160" s="18" t="s">
        <v>252</v>
      </c>
      <c r="C160" s="19" t="s">
        <v>118</v>
      </c>
      <c r="D160" s="20" t="s">
        <v>250</v>
      </c>
      <c r="E160" s="21" t="s">
        <v>253</v>
      </c>
      <c r="F160" s="22">
        <v>1077.29</v>
      </c>
      <c r="G160" s="22">
        <v>529.36</v>
      </c>
      <c r="H160" s="22">
        <v>1077.29</v>
      </c>
      <c r="I160" s="22">
        <v>529.36</v>
      </c>
      <c r="J160" s="88">
        <f t="shared" ref="J160:AA160" si="765">+J159+J158</f>
        <v>1103</v>
      </c>
      <c r="K160" s="88">
        <f t="shared" si="765"/>
        <v>0</v>
      </c>
      <c r="L160" s="88">
        <f t="shared" si="765"/>
        <v>0</v>
      </c>
      <c r="M160" s="88">
        <f t="shared" si="765"/>
        <v>1103</v>
      </c>
      <c r="N160" s="88">
        <f t="shared" si="765"/>
        <v>0</v>
      </c>
      <c r="O160" s="88">
        <f t="shared" si="765"/>
        <v>0</v>
      </c>
      <c r="P160" s="88">
        <f t="shared" si="765"/>
        <v>0</v>
      </c>
      <c r="Q160" s="88">
        <f t="shared" si="765"/>
        <v>0</v>
      </c>
      <c r="R160" s="88">
        <f t="shared" si="765"/>
        <v>1103</v>
      </c>
      <c r="S160" s="88">
        <f t="shared" si="765"/>
        <v>300</v>
      </c>
      <c r="T160" s="88">
        <f t="shared" si="765"/>
        <v>0</v>
      </c>
      <c r="U160" s="88">
        <f t="shared" si="765"/>
        <v>0</v>
      </c>
      <c r="V160" s="88">
        <f t="shared" si="765"/>
        <v>1140.0999999999999</v>
      </c>
      <c r="W160" s="88">
        <f t="shared" si="765"/>
        <v>546.66999999999996</v>
      </c>
      <c r="X160" s="88">
        <f t="shared" si="765"/>
        <v>-37.099999999999909</v>
      </c>
      <c r="Y160" s="88">
        <f t="shared" si="765"/>
        <v>-246.66999999999996</v>
      </c>
      <c r="Z160" s="88">
        <f t="shared" si="765"/>
        <v>1103</v>
      </c>
      <c r="AA160" s="88">
        <f t="shared" si="765"/>
        <v>0</v>
      </c>
      <c r="AB160" s="22">
        <f t="shared" si="644"/>
        <v>1103</v>
      </c>
      <c r="AC160" s="109">
        <f t="shared" si="645"/>
        <v>0</v>
      </c>
      <c r="AD160" s="22">
        <f t="shared" ref="AD160:CP160" si="766">+AD159+AD158</f>
        <v>1103</v>
      </c>
      <c r="AE160" s="22">
        <f t="shared" si="766"/>
        <v>300</v>
      </c>
      <c r="AF160" s="22">
        <f t="shared" si="766"/>
        <v>270.66000000000003</v>
      </c>
      <c r="AG160" s="22">
        <f t="shared" si="766"/>
        <v>276</v>
      </c>
      <c r="AH160" s="22">
        <f t="shared" si="766"/>
        <v>75</v>
      </c>
      <c r="AI160" s="118">
        <f t="shared" si="766"/>
        <v>92</v>
      </c>
      <c r="AJ160" s="22">
        <f t="shared" si="766"/>
        <v>25</v>
      </c>
      <c r="AK160" s="22">
        <f t="shared" si="766"/>
        <v>0</v>
      </c>
      <c r="AL160" s="22">
        <f t="shared" si="766"/>
        <v>0</v>
      </c>
      <c r="AM160" s="22">
        <f t="shared" si="766"/>
        <v>275.75</v>
      </c>
      <c r="AN160" s="22">
        <f t="shared" si="766"/>
        <v>73.05</v>
      </c>
      <c r="AO160" s="22">
        <f t="shared" si="766"/>
        <v>0</v>
      </c>
      <c r="AP160" s="22">
        <f t="shared" si="766"/>
        <v>0</v>
      </c>
      <c r="AQ160" s="22">
        <f t="shared" si="766"/>
        <v>551.75</v>
      </c>
      <c r="AR160" s="22">
        <f t="shared" si="766"/>
        <v>148.05000000000001</v>
      </c>
      <c r="AS160" s="22">
        <f t="shared" si="766"/>
        <v>0</v>
      </c>
      <c r="AT160" s="22">
        <f t="shared" si="766"/>
        <v>0</v>
      </c>
      <c r="AU160" s="22">
        <f t="shared" si="766"/>
        <v>275.75</v>
      </c>
      <c r="AV160" s="22">
        <f t="shared" si="766"/>
        <v>26.950000000000003</v>
      </c>
      <c r="AW160" s="22">
        <f t="shared" si="766"/>
        <v>0</v>
      </c>
      <c r="AX160" s="22">
        <f t="shared" si="766"/>
        <v>0</v>
      </c>
      <c r="AY160" s="22">
        <f t="shared" si="766"/>
        <v>919.5</v>
      </c>
      <c r="AZ160" s="22">
        <f t="shared" si="766"/>
        <v>200</v>
      </c>
      <c r="BA160" s="22">
        <f t="shared" si="766"/>
        <v>1119.5</v>
      </c>
      <c r="BB160" s="22">
        <f t="shared" si="766"/>
        <v>886.02</v>
      </c>
      <c r="BC160" s="22">
        <f t="shared" si="766"/>
        <v>188.33</v>
      </c>
      <c r="BD160" s="22">
        <f t="shared" si="766"/>
        <v>33.480000000000018</v>
      </c>
      <c r="BE160" s="22">
        <f t="shared" si="766"/>
        <v>11.669999999999987</v>
      </c>
      <c r="BF160" s="22">
        <f t="shared" si="766"/>
        <v>177.2</v>
      </c>
      <c r="BG160" s="118">
        <f t="shared" si="766"/>
        <v>37.67</v>
      </c>
      <c r="BH160" s="118">
        <f t="shared" si="766"/>
        <v>71.86</v>
      </c>
      <c r="BI160" s="118">
        <f t="shared" si="766"/>
        <v>33</v>
      </c>
      <c r="BJ160" s="118">
        <f t="shared" si="766"/>
        <v>0</v>
      </c>
      <c r="BK160" s="118">
        <f t="shared" si="766"/>
        <v>0</v>
      </c>
      <c r="BL160" s="118">
        <f t="shared" si="766"/>
        <v>991.36</v>
      </c>
      <c r="BM160" s="118">
        <f t="shared" si="766"/>
        <v>233</v>
      </c>
      <c r="BN160" s="118">
        <f t="shared" si="766"/>
        <v>1224.3600000000001</v>
      </c>
      <c r="BO160" s="118">
        <f t="shared" si="766"/>
        <v>982.74</v>
      </c>
      <c r="BP160" s="118">
        <f t="shared" si="766"/>
        <v>190.35</v>
      </c>
      <c r="BQ160" s="22">
        <f t="shared" si="766"/>
        <v>8.6200000000000045</v>
      </c>
      <c r="BR160" s="22">
        <f t="shared" si="766"/>
        <v>42.650000000000006</v>
      </c>
      <c r="BS160" s="22">
        <f t="shared" si="766"/>
        <v>89.34</v>
      </c>
      <c r="BT160" s="22">
        <f t="shared" si="766"/>
        <v>17.3</v>
      </c>
      <c r="BU160" s="22">
        <f t="shared" si="766"/>
        <v>95</v>
      </c>
      <c r="BV160" s="22">
        <f t="shared" si="766"/>
        <v>15</v>
      </c>
      <c r="BW160" s="22">
        <f t="shared" si="766"/>
        <v>0</v>
      </c>
      <c r="BX160" s="22">
        <f t="shared" si="766"/>
        <v>42</v>
      </c>
      <c r="BY160" s="22">
        <f t="shared" si="766"/>
        <v>0</v>
      </c>
      <c r="BZ160" s="22">
        <f t="shared" si="766"/>
        <v>0</v>
      </c>
      <c r="CA160" s="22">
        <f t="shared" si="766"/>
        <v>1086.3600000000001</v>
      </c>
      <c r="CB160" s="22">
        <f t="shared" si="766"/>
        <v>290</v>
      </c>
      <c r="CC160" s="22">
        <f t="shared" si="766"/>
        <v>1195</v>
      </c>
      <c r="CD160" s="118">
        <f t="shared" si="766"/>
        <v>333.5</v>
      </c>
      <c r="CE160" s="190">
        <f t="shared" si="766"/>
        <v>100</v>
      </c>
      <c r="CF160" s="190">
        <f t="shared" si="766"/>
        <v>28</v>
      </c>
      <c r="CG160" s="190">
        <f t="shared" si="766"/>
        <v>271.58999999999997</v>
      </c>
      <c r="CH160" s="190">
        <f t="shared" si="766"/>
        <v>72.5</v>
      </c>
      <c r="CI160" s="190">
        <f t="shared" si="766"/>
        <v>0</v>
      </c>
      <c r="CJ160" s="190">
        <f t="shared" si="766"/>
        <v>0</v>
      </c>
      <c r="CK160" s="190">
        <f t="shared" si="766"/>
        <v>300</v>
      </c>
      <c r="CL160" s="190">
        <f t="shared" si="766"/>
        <v>85</v>
      </c>
      <c r="CM160" s="190">
        <f t="shared" si="766"/>
        <v>0</v>
      </c>
      <c r="CN160" s="190">
        <f t="shared" si="766"/>
        <v>50</v>
      </c>
      <c r="CO160" s="190">
        <f t="shared" si="766"/>
        <v>1200</v>
      </c>
      <c r="CP160" s="190">
        <f t="shared" si="766"/>
        <v>250</v>
      </c>
      <c r="CQ160" s="190">
        <f t="shared" ref="CQ160:DU160" si="767">+CQ159+CQ158</f>
        <v>1200</v>
      </c>
      <c r="CR160" s="190">
        <f t="shared" si="767"/>
        <v>340</v>
      </c>
      <c r="CS160" s="190">
        <f t="shared" si="767"/>
        <v>1200</v>
      </c>
      <c r="CT160" s="190">
        <f t="shared" si="767"/>
        <v>250</v>
      </c>
      <c r="CU160" s="190">
        <f t="shared" si="767"/>
        <v>1200</v>
      </c>
      <c r="CV160" s="190">
        <f t="shared" si="767"/>
        <v>250</v>
      </c>
      <c r="CW160" s="190">
        <f t="shared" si="767"/>
        <v>300</v>
      </c>
      <c r="CX160" s="190">
        <f t="shared" si="767"/>
        <v>56.5</v>
      </c>
      <c r="CY160" s="190">
        <f t="shared" si="767"/>
        <v>0</v>
      </c>
      <c r="CZ160" s="190">
        <f t="shared" si="767"/>
        <v>0</v>
      </c>
      <c r="DA160" s="190">
        <f t="shared" si="767"/>
        <v>700</v>
      </c>
      <c r="DB160" s="190">
        <f t="shared" si="767"/>
        <v>219.5</v>
      </c>
      <c r="DC160" s="190">
        <f t="shared" si="767"/>
        <v>643.70000000000005</v>
      </c>
      <c r="DD160" s="190">
        <f t="shared" si="767"/>
        <v>158.49</v>
      </c>
      <c r="DE160" s="190">
        <f t="shared" si="767"/>
        <v>56.299999999999955</v>
      </c>
      <c r="DF160" s="190">
        <f t="shared" si="767"/>
        <v>61.009999999999991</v>
      </c>
      <c r="DG160" s="190">
        <f t="shared" si="767"/>
        <v>300</v>
      </c>
      <c r="DH160" s="190">
        <f t="shared" si="767"/>
        <v>45</v>
      </c>
      <c r="DI160" s="190">
        <f t="shared" si="767"/>
        <v>243.70000000000005</v>
      </c>
      <c r="DJ160" s="190">
        <f t="shared" si="767"/>
        <v>0</v>
      </c>
      <c r="DK160" s="104">
        <f t="shared" si="577"/>
        <v>256.29999999999995</v>
      </c>
      <c r="DL160" s="104">
        <f t="shared" si="578"/>
        <v>-39.5</v>
      </c>
      <c r="DM160" s="104">
        <f t="shared" si="663"/>
        <v>256.29999999999995</v>
      </c>
      <c r="DN160" s="104">
        <f t="shared" si="664"/>
        <v>30.5</v>
      </c>
      <c r="DO160" s="22">
        <f t="shared" si="767"/>
        <v>1200</v>
      </c>
      <c r="DP160" s="22">
        <f t="shared" si="767"/>
        <v>180</v>
      </c>
      <c r="DQ160" s="22">
        <f t="shared" si="767"/>
        <v>1280</v>
      </c>
      <c r="DR160" s="22">
        <f t="shared" si="767"/>
        <v>250</v>
      </c>
      <c r="DS160" s="22">
        <f t="shared" si="767"/>
        <v>0</v>
      </c>
      <c r="DT160" s="22">
        <f t="shared" si="767"/>
        <v>0</v>
      </c>
      <c r="DU160" s="22">
        <f t="shared" si="767"/>
        <v>0</v>
      </c>
    </row>
    <row r="161" spans="1:126" ht="18.75">
      <c r="A161" s="18">
        <v>21</v>
      </c>
      <c r="B161" s="18" t="s">
        <v>254</v>
      </c>
      <c r="C161" s="19" t="s">
        <v>118</v>
      </c>
      <c r="D161" s="20" t="s">
        <v>255</v>
      </c>
      <c r="E161" s="21" t="s">
        <v>256</v>
      </c>
      <c r="F161" s="81">
        <v>8555.3900000000012</v>
      </c>
      <c r="G161" s="81">
        <v>9848.73</v>
      </c>
      <c r="H161" s="81">
        <v>8555.3900000000012</v>
      </c>
      <c r="I161" s="22">
        <v>9848.73</v>
      </c>
      <c r="J161" s="88">
        <v>9695</v>
      </c>
      <c r="K161" s="88">
        <v>0</v>
      </c>
      <c r="L161" s="88">
        <v>0</v>
      </c>
      <c r="M161" s="88">
        <f>+L161+K161+J161</f>
        <v>9695</v>
      </c>
      <c r="N161" s="88">
        <v>0</v>
      </c>
      <c r="O161" s="88">
        <v>0</v>
      </c>
      <c r="P161" s="88">
        <v>0</v>
      </c>
      <c r="Q161" s="88">
        <f>+P161+O161+N161</f>
        <v>0</v>
      </c>
      <c r="R161" s="88">
        <f>+Q161+M161</f>
        <v>9695</v>
      </c>
      <c r="S161" s="88">
        <v>12880</v>
      </c>
      <c r="V161" s="22">
        <f t="shared" ref="V161" si="768">ROUND(H161*1.0583,2)</f>
        <v>9054.17</v>
      </c>
      <c r="W161" s="22">
        <f t="shared" ref="W161" si="769">ROUND(I161*1.0327,2)</f>
        <v>10170.780000000001</v>
      </c>
      <c r="X161" s="22">
        <f t="shared" si="642"/>
        <v>640.82999999999993</v>
      </c>
      <c r="Y161" s="22">
        <f t="shared" si="643"/>
        <v>2709.2199999999993</v>
      </c>
      <c r="Z161" s="22">
        <v>9054.17</v>
      </c>
      <c r="AA161" s="22"/>
      <c r="AB161" s="22">
        <f t="shared" si="644"/>
        <v>9054.17</v>
      </c>
      <c r="AC161" s="109">
        <f t="shared" si="645"/>
        <v>0</v>
      </c>
      <c r="AD161" s="22">
        <f t="shared" ref="AD161:AD162" si="770">IF(X161&gt;0,V161,R161)</f>
        <v>9054.17</v>
      </c>
      <c r="AE161" s="22">
        <f t="shared" ref="AE161:AE162" si="771">IF(Y161&gt;0,W161,S161)</f>
        <v>10170.780000000001</v>
      </c>
      <c r="AF161" s="22">
        <f t="shared" si="646"/>
        <v>11620.34</v>
      </c>
      <c r="AG161" s="108">
        <f t="shared" si="647"/>
        <v>2264</v>
      </c>
      <c r="AH161" s="108">
        <f t="shared" si="648"/>
        <v>2543</v>
      </c>
      <c r="AI161" s="127">
        <f t="shared" si="649"/>
        <v>755</v>
      </c>
      <c r="AJ161" s="108">
        <f t="shared" si="650"/>
        <v>848</v>
      </c>
      <c r="AM161" s="108">
        <f t="shared" si="651"/>
        <v>2263.54</v>
      </c>
      <c r="AN161" s="108">
        <f>ROUND(AE161*24.35%,2)-20</f>
        <v>2456.58</v>
      </c>
      <c r="AQ161" s="108">
        <f t="shared" si="653"/>
        <v>4527.54</v>
      </c>
      <c r="AR161" s="108">
        <f t="shared" si="654"/>
        <v>4999.58</v>
      </c>
      <c r="AS161" s="116"/>
      <c r="AU161" s="108">
        <f t="shared" si="749"/>
        <v>2263.54</v>
      </c>
      <c r="AV161" s="108">
        <f t="shared" ref="AV161:AV169" si="772">ROUND(AE161*25%,2)</f>
        <v>2542.6999999999998</v>
      </c>
      <c r="AY161" s="108">
        <f t="shared" si="633"/>
        <v>7546.08</v>
      </c>
      <c r="AZ161" s="108">
        <f t="shared" si="634"/>
        <v>8390.2799999999988</v>
      </c>
      <c r="BA161" s="108">
        <f t="shared" si="635"/>
        <v>15936.359999999999</v>
      </c>
      <c r="BB161" s="139">
        <v>7153.57</v>
      </c>
      <c r="BC161" s="139">
        <v>8141.98</v>
      </c>
      <c r="BD161" s="139">
        <f t="shared" si="636"/>
        <v>392.51000000000022</v>
      </c>
      <c r="BE161" s="139">
        <f t="shared" si="637"/>
        <v>248.29999999999927</v>
      </c>
      <c r="BF161" s="139">
        <f t="shared" si="638"/>
        <v>1430.71</v>
      </c>
      <c r="BG161" s="139">
        <f t="shared" si="639"/>
        <v>1628.4</v>
      </c>
      <c r="BH161" s="143">
        <v>549.96</v>
      </c>
      <c r="BI161" s="108">
        <v>650</v>
      </c>
      <c r="BK161" s="108">
        <v>200</v>
      </c>
      <c r="BL161" s="108">
        <f t="shared" si="662"/>
        <v>8096.04</v>
      </c>
      <c r="BM161" s="108">
        <f t="shared" si="679"/>
        <v>9240.2799999999988</v>
      </c>
      <c r="BN161" s="108">
        <f t="shared" si="680"/>
        <v>17336.32</v>
      </c>
      <c r="BO161" s="108">
        <v>8010.2</v>
      </c>
      <c r="BP161" s="127">
        <v>8915.08</v>
      </c>
      <c r="BQ161" s="108">
        <f t="shared" si="681"/>
        <v>85.840000000000146</v>
      </c>
      <c r="BR161" s="108">
        <f t="shared" si="682"/>
        <v>325.19999999999891</v>
      </c>
      <c r="BS161" s="108">
        <f t="shared" si="683"/>
        <v>728.2</v>
      </c>
      <c r="BT161" s="108">
        <f t="shared" si="684"/>
        <v>810.46</v>
      </c>
      <c r="BU161" s="108">
        <f t="shared" si="745"/>
        <v>642.3599999999999</v>
      </c>
      <c r="BV161" s="109">
        <v>450</v>
      </c>
      <c r="BW161" s="109">
        <v>315.77</v>
      </c>
      <c r="BX161" s="109">
        <v>250</v>
      </c>
      <c r="BY161" s="109"/>
      <c r="BZ161" s="109"/>
      <c r="CA161" s="108">
        <v>9054.17</v>
      </c>
      <c r="CB161" s="108">
        <v>9940.2799999999988</v>
      </c>
      <c r="CC161">
        <v>9959.59</v>
      </c>
      <c r="CD161">
        <v>11431.32</v>
      </c>
      <c r="CE161" s="189">
        <v>830</v>
      </c>
      <c r="CF161" s="189">
        <v>953</v>
      </c>
      <c r="CG161" s="189">
        <f t="shared" si="685"/>
        <v>2263.54</v>
      </c>
      <c r="CH161" s="189">
        <f t="shared" si="686"/>
        <v>2485.0700000000002</v>
      </c>
      <c r="CI161" s="150"/>
      <c r="CJ161" s="150"/>
      <c r="CK161" s="150">
        <v>2200</v>
      </c>
      <c r="CL161" s="150">
        <f>3000-400</f>
        <v>2600</v>
      </c>
      <c r="CM161" s="150">
        <v>400</v>
      </c>
      <c r="CN161" s="150">
        <v>300</v>
      </c>
      <c r="CO161" s="150">
        <v>9959.5</v>
      </c>
      <c r="CP161" s="150">
        <v>11230</v>
      </c>
      <c r="CQ161" s="150">
        <f t="shared" si="687"/>
        <v>8800</v>
      </c>
      <c r="CR161" s="150">
        <f t="shared" si="688"/>
        <v>10400</v>
      </c>
      <c r="CS161" s="150">
        <v>8800</v>
      </c>
      <c r="CT161" s="150">
        <v>10400</v>
      </c>
      <c r="CU161" s="150">
        <v>8800</v>
      </c>
      <c r="CV161" s="150">
        <v>10400</v>
      </c>
      <c r="CW161" s="150">
        <f t="shared" si="691"/>
        <v>2200</v>
      </c>
      <c r="CX161" s="150">
        <f t="shared" si="575"/>
        <v>2600</v>
      </c>
      <c r="CY161" s="150"/>
      <c r="CZ161" s="150">
        <v>175</v>
      </c>
      <c r="DA161" s="150">
        <f t="shared" si="692"/>
        <v>5630</v>
      </c>
      <c r="DB161" s="150">
        <f t="shared" si="693"/>
        <v>6628</v>
      </c>
      <c r="DC161" s="150">
        <v>5386.27</v>
      </c>
      <c r="DD161" s="150">
        <v>6564.04</v>
      </c>
      <c r="DE161" s="150">
        <f t="shared" si="694"/>
        <v>243.72999999999956</v>
      </c>
      <c r="DF161" s="150">
        <f t="shared" si="695"/>
        <v>63.960000000000036</v>
      </c>
      <c r="DG161" s="150">
        <f t="shared" ref="DG161:DH163" si="773">ROUND(0.25*(MIN(CU161,DO161)),2)</f>
        <v>2200</v>
      </c>
      <c r="DH161" s="150">
        <f t="shared" si="773"/>
        <v>2600</v>
      </c>
      <c r="DI161" s="150">
        <f>+DG161-DE161</f>
        <v>1956.2700000000004</v>
      </c>
      <c r="DJ161" s="150">
        <f>+DH161-DF161</f>
        <v>2536.04</v>
      </c>
      <c r="DK161" s="104">
        <f t="shared" si="577"/>
        <v>2013.7299999999996</v>
      </c>
      <c r="DL161" s="104">
        <f t="shared" si="578"/>
        <v>2135.96</v>
      </c>
      <c r="DM161" s="104">
        <f t="shared" si="663"/>
        <v>1213.7299999999996</v>
      </c>
      <c r="DN161" s="104">
        <f t="shared" si="664"/>
        <v>1235.96</v>
      </c>
      <c r="DO161" s="104">
        <v>9600</v>
      </c>
      <c r="DP161" s="104">
        <v>11300</v>
      </c>
      <c r="DQ161" s="104">
        <v>10656.45</v>
      </c>
      <c r="DR161" s="104">
        <v>12515</v>
      </c>
    </row>
    <row r="162" spans="1:126" ht="18.75">
      <c r="A162" s="13">
        <v>22</v>
      </c>
      <c r="B162" s="13"/>
      <c r="C162" s="14"/>
      <c r="D162" s="15" t="s">
        <v>257</v>
      </c>
      <c r="E162" s="16"/>
      <c r="F162" s="81">
        <v>1370.54</v>
      </c>
      <c r="G162" s="81">
        <v>43.22</v>
      </c>
      <c r="H162" s="81">
        <v>1370.54</v>
      </c>
      <c r="I162" s="17">
        <v>43.22</v>
      </c>
      <c r="J162" s="105">
        <v>1380</v>
      </c>
      <c r="K162" s="87"/>
      <c r="L162" s="87"/>
      <c r="M162" s="87">
        <f t="shared" ref="M162:M163" si="774">J162+K162+L162</f>
        <v>1380</v>
      </c>
      <c r="N162" s="87"/>
      <c r="O162" s="87"/>
      <c r="P162" s="87"/>
      <c r="Q162" s="87">
        <f t="shared" ref="Q162:Q163" si="775">N162+O162+P162</f>
        <v>0</v>
      </c>
      <c r="R162" s="87">
        <f t="shared" ref="R162:R163" si="776">+Q162+M162</f>
        <v>1380</v>
      </c>
      <c r="S162" s="87">
        <v>45</v>
      </c>
      <c r="V162" s="17">
        <f t="shared" ref="V162" si="777">ROUND(H162*1.0583,2)</f>
        <v>1450.44</v>
      </c>
      <c r="W162" s="17">
        <f t="shared" ref="W162" si="778">ROUND(I162*1.0327,2)</f>
        <v>44.63</v>
      </c>
      <c r="X162" s="108">
        <f t="shared" si="642"/>
        <v>-70.440000000000055</v>
      </c>
      <c r="Y162" s="108">
        <f t="shared" si="643"/>
        <v>0.36999999999999744</v>
      </c>
      <c r="Z162" s="108">
        <v>1380</v>
      </c>
      <c r="AA162" s="108"/>
      <c r="AB162" s="108">
        <f t="shared" si="644"/>
        <v>1380</v>
      </c>
      <c r="AC162" s="109">
        <f t="shared" si="645"/>
        <v>0</v>
      </c>
      <c r="AD162" s="108">
        <f t="shared" si="770"/>
        <v>1380</v>
      </c>
      <c r="AE162" s="108">
        <f t="shared" si="771"/>
        <v>44.63</v>
      </c>
      <c r="AF162" s="108">
        <f t="shared" si="646"/>
        <v>40.6</v>
      </c>
      <c r="AG162" s="108">
        <f t="shared" si="647"/>
        <v>345</v>
      </c>
      <c r="AH162" s="108">
        <f t="shared" si="648"/>
        <v>11</v>
      </c>
      <c r="AI162" s="127">
        <f t="shared" si="649"/>
        <v>115</v>
      </c>
      <c r="AJ162" s="108">
        <f t="shared" si="650"/>
        <v>4</v>
      </c>
      <c r="AM162" s="108">
        <f t="shared" si="651"/>
        <v>345</v>
      </c>
      <c r="AN162" s="108">
        <f t="shared" si="652"/>
        <v>10.87</v>
      </c>
      <c r="AO162" s="116"/>
      <c r="AP162" s="116"/>
      <c r="AQ162" s="116">
        <f t="shared" si="653"/>
        <v>690</v>
      </c>
      <c r="AR162" s="116">
        <f t="shared" si="654"/>
        <v>21.869999999999997</v>
      </c>
      <c r="AS162" s="116">
        <v>35</v>
      </c>
      <c r="AT162" s="116"/>
      <c r="AU162" s="116">
        <f t="shared" si="749"/>
        <v>345</v>
      </c>
      <c r="AV162" s="116">
        <f>ROUND(AE162*25%,2)-11.16</f>
        <v>0</v>
      </c>
      <c r="AW162" s="143">
        <v>80</v>
      </c>
      <c r="AX162" s="116"/>
      <c r="AY162" s="108">
        <f t="shared" si="633"/>
        <v>1265</v>
      </c>
      <c r="AZ162" s="108">
        <f t="shared" si="634"/>
        <v>25.869999999999997</v>
      </c>
      <c r="BA162" s="108">
        <f t="shared" si="635"/>
        <v>1290.8699999999999</v>
      </c>
      <c r="BB162" s="139">
        <v>1266.8900000000001</v>
      </c>
      <c r="BC162" s="139">
        <v>19.2</v>
      </c>
      <c r="BD162" s="139">
        <f t="shared" si="636"/>
        <v>-1.8900000000001</v>
      </c>
      <c r="BE162" s="139">
        <f t="shared" si="637"/>
        <v>6.6699999999999982</v>
      </c>
      <c r="BF162" s="139">
        <f t="shared" si="638"/>
        <v>253.38</v>
      </c>
      <c r="BG162" s="139">
        <f t="shared" si="639"/>
        <v>3.84</v>
      </c>
      <c r="BH162" s="108">
        <v>127.64</v>
      </c>
      <c r="BI162" s="108">
        <v>0</v>
      </c>
      <c r="BL162" s="108">
        <f t="shared" si="662"/>
        <v>1392.64</v>
      </c>
      <c r="BM162" s="108">
        <f t="shared" si="679"/>
        <v>25.869999999999997</v>
      </c>
      <c r="BN162" s="108">
        <f t="shared" si="680"/>
        <v>1418.51</v>
      </c>
      <c r="BO162" s="108">
        <v>1387.77</v>
      </c>
      <c r="BP162" s="127">
        <v>20.04</v>
      </c>
      <c r="BQ162" s="108">
        <f t="shared" si="681"/>
        <v>4.8700000000001182</v>
      </c>
      <c r="BR162" s="108">
        <f t="shared" si="682"/>
        <v>5.8299999999999983</v>
      </c>
      <c r="BS162" s="108">
        <f t="shared" si="683"/>
        <v>126.16</v>
      </c>
      <c r="BT162" s="108">
        <f t="shared" si="684"/>
        <v>1.82</v>
      </c>
      <c r="BU162" s="143">
        <v>130</v>
      </c>
      <c r="BV162" s="108">
        <v>0</v>
      </c>
      <c r="BW162" s="109">
        <v>6</v>
      </c>
      <c r="CA162" s="108">
        <v>1528.64</v>
      </c>
      <c r="CB162" s="108">
        <v>25.869999999999997</v>
      </c>
      <c r="CC162">
        <v>1681.5</v>
      </c>
      <c r="CD162">
        <v>29.75</v>
      </c>
      <c r="CE162" s="189">
        <v>140</v>
      </c>
      <c r="CF162" s="189">
        <v>2</v>
      </c>
      <c r="CG162" s="189">
        <f t="shared" si="685"/>
        <v>382.16</v>
      </c>
      <c r="CH162" s="189">
        <f t="shared" si="686"/>
        <v>6.47</v>
      </c>
      <c r="CI162" s="150"/>
      <c r="CJ162" s="150"/>
      <c r="CK162" s="150">
        <v>420</v>
      </c>
      <c r="CL162" s="150">
        <v>3</v>
      </c>
      <c r="CM162" s="150"/>
      <c r="CN162" s="150"/>
      <c r="CO162" s="150">
        <v>1750</v>
      </c>
      <c r="CP162" s="150">
        <v>30</v>
      </c>
      <c r="CQ162" s="150">
        <f t="shared" si="687"/>
        <v>1680</v>
      </c>
      <c r="CR162" s="150">
        <f t="shared" si="688"/>
        <v>12</v>
      </c>
      <c r="CS162" s="150">
        <f t="shared" si="689"/>
        <v>1680</v>
      </c>
      <c r="CT162" s="150">
        <f t="shared" si="690"/>
        <v>12</v>
      </c>
      <c r="CU162" s="150">
        <f t="shared" si="689"/>
        <v>1680</v>
      </c>
      <c r="CV162" s="150">
        <v>42</v>
      </c>
      <c r="CW162" s="150">
        <f t="shared" si="691"/>
        <v>420</v>
      </c>
      <c r="CX162" s="150">
        <v>35</v>
      </c>
      <c r="CY162" s="150"/>
      <c r="CZ162" s="150"/>
      <c r="DA162" s="150">
        <f t="shared" si="692"/>
        <v>980</v>
      </c>
      <c r="DB162" s="150">
        <f t="shared" si="693"/>
        <v>40</v>
      </c>
      <c r="DC162" s="150">
        <v>987.71</v>
      </c>
      <c r="DD162" s="150">
        <v>33.08</v>
      </c>
      <c r="DE162" s="150">
        <f t="shared" si="694"/>
        <v>-7.7100000000000364</v>
      </c>
      <c r="DF162" s="150">
        <f t="shared" si="695"/>
        <v>6.9200000000000017</v>
      </c>
      <c r="DG162" s="150">
        <f t="shared" si="773"/>
        <v>420</v>
      </c>
      <c r="DH162" s="150">
        <f t="shared" si="773"/>
        <v>10.5</v>
      </c>
      <c r="DI162" s="150">
        <f>+DG162-DE162</f>
        <v>427.71000000000004</v>
      </c>
      <c r="DJ162" s="150">
        <f>+DH162-DF162-2-1.58</f>
        <v>-1.7763568394002505E-15</v>
      </c>
      <c r="DK162" s="104">
        <f t="shared" si="577"/>
        <v>302.28999999999996</v>
      </c>
      <c r="DL162" s="104">
        <f t="shared" si="578"/>
        <v>2.0000000000000018</v>
      </c>
      <c r="DM162" s="104">
        <f t="shared" si="663"/>
        <v>272.28999999999996</v>
      </c>
      <c r="DN162" s="104">
        <f t="shared" si="664"/>
        <v>2.0000000000000018</v>
      </c>
      <c r="DO162" s="104">
        <v>1710</v>
      </c>
      <c r="DP162" s="104">
        <v>42</v>
      </c>
      <c r="DQ162" s="104">
        <v>1750</v>
      </c>
      <c r="DR162" s="104">
        <v>10</v>
      </c>
    </row>
    <row r="163" spans="1:126" ht="37.5">
      <c r="A163" s="13">
        <v>23</v>
      </c>
      <c r="B163" s="13"/>
      <c r="C163" s="14"/>
      <c r="D163" s="15" t="s">
        <v>258</v>
      </c>
      <c r="E163" s="16"/>
      <c r="F163" s="81">
        <v>0</v>
      </c>
      <c r="G163" s="81">
        <v>0</v>
      </c>
      <c r="H163" s="81">
        <v>0</v>
      </c>
      <c r="I163" s="17">
        <v>0</v>
      </c>
      <c r="J163" s="86">
        <v>0</v>
      </c>
      <c r="K163" s="87"/>
      <c r="L163" s="87"/>
      <c r="M163" s="87">
        <f t="shared" si="774"/>
        <v>0</v>
      </c>
      <c r="N163" s="87"/>
      <c r="O163" s="87"/>
      <c r="P163" s="87"/>
      <c r="Q163" s="87">
        <f t="shared" si="775"/>
        <v>0</v>
      </c>
      <c r="R163" s="87">
        <f t="shared" si="776"/>
        <v>0</v>
      </c>
      <c r="S163" s="87">
        <v>0</v>
      </c>
      <c r="V163" s="17">
        <f t="shared" ref="V163" si="779">ROUND(H163*1.0583,2)</f>
        <v>0</v>
      </c>
      <c r="W163" s="17">
        <f t="shared" ref="W163" si="780">ROUND(I163*1.0327,2)</f>
        <v>0</v>
      </c>
      <c r="X163" s="108">
        <f t="shared" si="642"/>
        <v>0</v>
      </c>
      <c r="Y163" s="108">
        <f t="shared" si="643"/>
        <v>0</v>
      </c>
      <c r="Z163" s="108">
        <v>0</v>
      </c>
      <c r="AA163" s="108"/>
      <c r="AB163" s="108">
        <f t="shared" si="644"/>
        <v>0</v>
      </c>
      <c r="AC163" s="109">
        <f t="shared" si="645"/>
        <v>0</v>
      </c>
      <c r="AD163" s="108">
        <f t="shared" ref="AD163" si="781">IF(X163&gt;0,V163,R163)</f>
        <v>0</v>
      </c>
      <c r="AE163" s="108">
        <f t="shared" ref="AE163" si="782">IF(Y163&gt;0,W163,S163)</f>
        <v>0</v>
      </c>
      <c r="AF163" s="108">
        <f t="shared" si="646"/>
        <v>0</v>
      </c>
      <c r="AG163" s="108">
        <f t="shared" si="647"/>
        <v>0</v>
      </c>
      <c r="AH163" s="108">
        <f t="shared" si="648"/>
        <v>0</v>
      </c>
      <c r="AI163" s="127">
        <f t="shared" si="649"/>
        <v>0</v>
      </c>
      <c r="AJ163" s="108">
        <f t="shared" si="650"/>
        <v>0</v>
      </c>
      <c r="AM163" s="108">
        <f t="shared" si="651"/>
        <v>0</v>
      </c>
      <c r="AN163" s="108">
        <f t="shared" si="652"/>
        <v>0</v>
      </c>
      <c r="AO163" s="116"/>
      <c r="AP163" s="116"/>
      <c r="AQ163" s="116">
        <f t="shared" si="653"/>
        <v>0</v>
      </c>
      <c r="AR163" s="116">
        <f t="shared" si="654"/>
        <v>0</v>
      </c>
      <c r="AS163" s="116"/>
      <c r="AT163" s="116"/>
      <c r="AU163" s="116">
        <f t="shared" si="749"/>
        <v>0</v>
      </c>
      <c r="AV163" s="116">
        <f t="shared" si="772"/>
        <v>0</v>
      </c>
      <c r="AW163" s="116"/>
      <c r="AX163" s="116"/>
      <c r="AY163" s="108">
        <f t="shared" si="633"/>
        <v>0</v>
      </c>
      <c r="AZ163" s="108">
        <f t="shared" si="634"/>
        <v>0</v>
      </c>
      <c r="BA163" s="108">
        <f t="shared" si="635"/>
        <v>0</v>
      </c>
      <c r="BB163" s="139">
        <v>0</v>
      </c>
      <c r="BD163" s="139">
        <f t="shared" si="636"/>
        <v>0</v>
      </c>
      <c r="BE163" s="139">
        <f t="shared" si="637"/>
        <v>0</v>
      </c>
      <c r="BF163" s="139">
        <f t="shared" si="638"/>
        <v>0</v>
      </c>
      <c r="BG163" s="139">
        <f t="shared" si="639"/>
        <v>0</v>
      </c>
      <c r="BH163" s="108">
        <v>0</v>
      </c>
      <c r="BI163" s="108">
        <v>0</v>
      </c>
      <c r="BL163" s="108">
        <f t="shared" si="662"/>
        <v>0</v>
      </c>
      <c r="BM163" s="108">
        <f t="shared" si="679"/>
        <v>0</v>
      </c>
      <c r="BN163" s="108">
        <f t="shared" si="680"/>
        <v>0</v>
      </c>
      <c r="BO163" s="108">
        <v>0</v>
      </c>
      <c r="BP163" s="127"/>
      <c r="BQ163" s="108">
        <f t="shared" si="681"/>
        <v>0</v>
      </c>
      <c r="BR163" s="108">
        <f t="shared" si="682"/>
        <v>0</v>
      </c>
      <c r="BS163" s="108">
        <f t="shared" si="683"/>
        <v>0</v>
      </c>
      <c r="BT163" s="108">
        <f t="shared" si="684"/>
        <v>0</v>
      </c>
      <c r="BU163" s="108">
        <f t="shared" si="745"/>
        <v>0</v>
      </c>
      <c r="BV163" s="108">
        <v>0</v>
      </c>
      <c r="CA163" s="108">
        <v>0</v>
      </c>
      <c r="CB163" s="108">
        <v>0</v>
      </c>
      <c r="CC163">
        <v>0</v>
      </c>
      <c r="CD163">
        <v>0</v>
      </c>
      <c r="CE163" s="189">
        <v>0</v>
      </c>
      <c r="CF163" s="189">
        <v>0</v>
      </c>
      <c r="CG163" s="189">
        <f t="shared" si="685"/>
        <v>0</v>
      </c>
      <c r="CH163" s="189">
        <f t="shared" si="686"/>
        <v>0</v>
      </c>
      <c r="CI163" s="150"/>
      <c r="CJ163" s="150"/>
      <c r="CK163" s="150">
        <v>0</v>
      </c>
      <c r="CL163" s="150">
        <v>0</v>
      </c>
      <c r="CM163" s="150"/>
      <c r="CN163" s="150"/>
      <c r="CO163" s="150"/>
      <c r="CP163" s="150"/>
      <c r="CQ163" s="150">
        <f t="shared" si="687"/>
        <v>0</v>
      </c>
      <c r="CR163" s="150">
        <f t="shared" si="688"/>
        <v>0</v>
      </c>
      <c r="CS163" s="150">
        <f t="shared" si="689"/>
        <v>0</v>
      </c>
      <c r="CT163" s="150">
        <f t="shared" si="690"/>
        <v>0</v>
      </c>
      <c r="CU163" s="150">
        <f t="shared" si="689"/>
        <v>0</v>
      </c>
      <c r="CV163" s="150">
        <v>0</v>
      </c>
      <c r="CW163" s="150">
        <f t="shared" si="691"/>
        <v>0</v>
      </c>
      <c r="CX163" s="150">
        <f t="shared" si="575"/>
        <v>0</v>
      </c>
      <c r="CY163" s="150"/>
      <c r="CZ163" s="150"/>
      <c r="DA163" s="150">
        <f t="shared" si="692"/>
        <v>0</v>
      </c>
      <c r="DB163" s="150">
        <f t="shared" si="693"/>
        <v>0</v>
      </c>
      <c r="DC163" s="150">
        <v>0</v>
      </c>
      <c r="DD163" s="150">
        <v>0</v>
      </c>
      <c r="DE163" s="150">
        <f t="shared" si="694"/>
        <v>0</v>
      </c>
      <c r="DF163" s="150">
        <f t="shared" si="695"/>
        <v>0</v>
      </c>
      <c r="DG163" s="150">
        <f t="shared" si="773"/>
        <v>0</v>
      </c>
      <c r="DH163" s="150">
        <f t="shared" si="773"/>
        <v>0</v>
      </c>
      <c r="DI163" s="150">
        <f>+DG163-DE163</f>
        <v>0</v>
      </c>
      <c r="DJ163" s="150">
        <f>+DH163-DF163</f>
        <v>0</v>
      </c>
      <c r="DK163" s="104">
        <f t="shared" si="577"/>
        <v>0</v>
      </c>
      <c r="DL163" s="104">
        <f t="shared" si="578"/>
        <v>0</v>
      </c>
      <c r="DM163" s="104">
        <f t="shared" si="663"/>
        <v>0</v>
      </c>
      <c r="DN163" s="104">
        <f t="shared" si="664"/>
        <v>0</v>
      </c>
      <c r="DO163" s="104">
        <v>0</v>
      </c>
      <c r="DP163" s="104">
        <v>0</v>
      </c>
      <c r="DQ163" s="104">
        <v>0</v>
      </c>
      <c r="DR163" s="104">
        <v>0</v>
      </c>
    </row>
    <row r="164" spans="1:126" ht="18.75">
      <c r="A164" s="18"/>
      <c r="B164" s="18" t="s">
        <v>259</v>
      </c>
      <c r="C164" s="19" t="s">
        <v>99</v>
      </c>
      <c r="D164" s="20" t="s">
        <v>257</v>
      </c>
      <c r="E164" s="21" t="s">
        <v>260</v>
      </c>
      <c r="F164" s="22">
        <v>1370.54</v>
      </c>
      <c r="G164" s="22">
        <v>43.22</v>
      </c>
      <c r="H164" s="22">
        <v>1370.54</v>
      </c>
      <c r="I164" s="22">
        <v>43.22</v>
      </c>
      <c r="J164" s="88">
        <f t="shared" ref="J164:AA164" si="783">+J162+J163</f>
        <v>1380</v>
      </c>
      <c r="K164" s="88">
        <f t="shared" si="783"/>
        <v>0</v>
      </c>
      <c r="L164" s="88">
        <f t="shared" si="783"/>
        <v>0</v>
      </c>
      <c r="M164" s="88">
        <f t="shared" si="783"/>
        <v>1380</v>
      </c>
      <c r="N164" s="88">
        <f t="shared" si="783"/>
        <v>0</v>
      </c>
      <c r="O164" s="88">
        <f t="shared" si="783"/>
        <v>0</v>
      </c>
      <c r="P164" s="88">
        <f t="shared" si="783"/>
        <v>0</v>
      </c>
      <c r="Q164" s="88">
        <f t="shared" si="783"/>
        <v>0</v>
      </c>
      <c r="R164" s="88">
        <f t="shared" si="783"/>
        <v>1380</v>
      </c>
      <c r="S164" s="88">
        <f t="shared" si="783"/>
        <v>45</v>
      </c>
      <c r="T164" s="88">
        <f t="shared" si="783"/>
        <v>0</v>
      </c>
      <c r="U164" s="88">
        <f t="shared" si="783"/>
        <v>0</v>
      </c>
      <c r="V164" s="88">
        <f t="shared" si="783"/>
        <v>1450.44</v>
      </c>
      <c r="W164" s="88">
        <f t="shared" si="783"/>
        <v>44.63</v>
      </c>
      <c r="X164" s="88">
        <f t="shared" si="783"/>
        <v>-70.440000000000055</v>
      </c>
      <c r="Y164" s="88">
        <f t="shared" si="783"/>
        <v>0.36999999999999744</v>
      </c>
      <c r="Z164" s="88">
        <f t="shared" si="783"/>
        <v>1380</v>
      </c>
      <c r="AA164" s="88">
        <f t="shared" si="783"/>
        <v>0</v>
      </c>
      <c r="AB164" s="22">
        <f t="shared" si="644"/>
        <v>1380</v>
      </c>
      <c r="AC164" s="109">
        <f t="shared" si="645"/>
        <v>0</v>
      </c>
      <c r="AD164" s="22">
        <f t="shared" ref="AD164:CP164" si="784">+AD162+AD163</f>
        <v>1380</v>
      </c>
      <c r="AE164" s="22">
        <f t="shared" si="784"/>
        <v>44.63</v>
      </c>
      <c r="AF164" s="22">
        <f t="shared" si="784"/>
        <v>40.6</v>
      </c>
      <c r="AG164" s="22">
        <f t="shared" si="784"/>
        <v>345</v>
      </c>
      <c r="AH164" s="22">
        <f t="shared" si="784"/>
        <v>11</v>
      </c>
      <c r="AI164" s="118">
        <f t="shared" si="784"/>
        <v>115</v>
      </c>
      <c r="AJ164" s="22">
        <f t="shared" si="784"/>
        <v>4</v>
      </c>
      <c r="AK164" s="22">
        <f t="shared" si="784"/>
        <v>0</v>
      </c>
      <c r="AL164" s="22">
        <f t="shared" si="784"/>
        <v>0</v>
      </c>
      <c r="AM164" s="22">
        <f t="shared" si="784"/>
        <v>345</v>
      </c>
      <c r="AN164" s="22">
        <f t="shared" si="784"/>
        <v>10.87</v>
      </c>
      <c r="AO164" s="22">
        <f t="shared" si="784"/>
        <v>0</v>
      </c>
      <c r="AP164" s="22">
        <f t="shared" si="784"/>
        <v>0</v>
      </c>
      <c r="AQ164" s="22">
        <f t="shared" si="784"/>
        <v>690</v>
      </c>
      <c r="AR164" s="22">
        <f t="shared" si="784"/>
        <v>21.869999999999997</v>
      </c>
      <c r="AS164" s="22">
        <f t="shared" si="784"/>
        <v>35</v>
      </c>
      <c r="AT164" s="22">
        <f t="shared" si="784"/>
        <v>0</v>
      </c>
      <c r="AU164" s="22">
        <f t="shared" si="784"/>
        <v>345</v>
      </c>
      <c r="AV164" s="22">
        <f t="shared" si="784"/>
        <v>0</v>
      </c>
      <c r="AW164" s="22">
        <f t="shared" si="784"/>
        <v>80</v>
      </c>
      <c r="AX164" s="22">
        <f t="shared" si="784"/>
        <v>0</v>
      </c>
      <c r="AY164" s="22">
        <f t="shared" si="784"/>
        <v>1265</v>
      </c>
      <c r="AZ164" s="22">
        <f t="shared" si="784"/>
        <v>25.869999999999997</v>
      </c>
      <c r="BA164" s="22">
        <f t="shared" si="784"/>
        <v>1290.8699999999999</v>
      </c>
      <c r="BB164" s="22">
        <f t="shared" si="784"/>
        <v>1266.8900000000001</v>
      </c>
      <c r="BC164" s="22">
        <f t="shared" si="784"/>
        <v>19.2</v>
      </c>
      <c r="BD164" s="22">
        <f t="shared" si="784"/>
        <v>-1.8900000000001</v>
      </c>
      <c r="BE164" s="22">
        <f t="shared" si="784"/>
        <v>6.6699999999999982</v>
      </c>
      <c r="BF164" s="22">
        <f t="shared" si="784"/>
        <v>253.38</v>
      </c>
      <c r="BG164" s="118">
        <f t="shared" si="784"/>
        <v>3.84</v>
      </c>
      <c r="BH164" s="118">
        <f t="shared" si="784"/>
        <v>127.64</v>
      </c>
      <c r="BI164" s="118">
        <f t="shared" si="784"/>
        <v>0</v>
      </c>
      <c r="BJ164" s="118">
        <f t="shared" si="784"/>
        <v>0</v>
      </c>
      <c r="BK164" s="118">
        <f t="shared" si="784"/>
        <v>0</v>
      </c>
      <c r="BL164" s="118">
        <f t="shared" si="784"/>
        <v>1392.64</v>
      </c>
      <c r="BM164" s="118">
        <f t="shared" si="784"/>
        <v>25.869999999999997</v>
      </c>
      <c r="BN164" s="118">
        <f t="shared" si="784"/>
        <v>1418.51</v>
      </c>
      <c r="BO164" s="118">
        <f t="shared" si="784"/>
        <v>1387.77</v>
      </c>
      <c r="BP164" s="118">
        <f t="shared" si="784"/>
        <v>20.04</v>
      </c>
      <c r="BQ164" s="22">
        <f t="shared" si="784"/>
        <v>4.8700000000001182</v>
      </c>
      <c r="BR164" s="22">
        <f t="shared" si="784"/>
        <v>5.8299999999999983</v>
      </c>
      <c r="BS164" s="22">
        <f t="shared" si="784"/>
        <v>126.16</v>
      </c>
      <c r="BT164" s="22">
        <f t="shared" si="784"/>
        <v>1.82</v>
      </c>
      <c r="BU164" s="22">
        <f t="shared" si="784"/>
        <v>130</v>
      </c>
      <c r="BV164" s="22">
        <f t="shared" si="784"/>
        <v>0</v>
      </c>
      <c r="BW164" s="22">
        <f t="shared" si="784"/>
        <v>6</v>
      </c>
      <c r="BX164" s="22">
        <f t="shared" si="784"/>
        <v>0</v>
      </c>
      <c r="BY164" s="22">
        <f t="shared" si="784"/>
        <v>0</v>
      </c>
      <c r="BZ164" s="22">
        <f t="shared" si="784"/>
        <v>0</v>
      </c>
      <c r="CA164" s="22">
        <f t="shared" si="784"/>
        <v>1528.64</v>
      </c>
      <c r="CB164" s="22">
        <f t="shared" si="784"/>
        <v>25.869999999999997</v>
      </c>
      <c r="CC164" s="22">
        <f t="shared" si="784"/>
        <v>1681.5</v>
      </c>
      <c r="CD164" s="118">
        <f t="shared" si="784"/>
        <v>29.75</v>
      </c>
      <c r="CE164" s="190">
        <f t="shared" si="784"/>
        <v>140</v>
      </c>
      <c r="CF164" s="190">
        <f t="shared" si="784"/>
        <v>2</v>
      </c>
      <c r="CG164" s="190">
        <f t="shared" si="784"/>
        <v>382.16</v>
      </c>
      <c r="CH164" s="190">
        <f t="shared" si="784"/>
        <v>6.47</v>
      </c>
      <c r="CI164" s="190">
        <f t="shared" si="784"/>
        <v>0</v>
      </c>
      <c r="CJ164" s="190">
        <f t="shared" si="784"/>
        <v>0</v>
      </c>
      <c r="CK164" s="190">
        <f t="shared" si="784"/>
        <v>420</v>
      </c>
      <c r="CL164" s="190">
        <f t="shared" si="784"/>
        <v>3</v>
      </c>
      <c r="CM164" s="190">
        <f t="shared" si="784"/>
        <v>0</v>
      </c>
      <c r="CN164" s="190">
        <f t="shared" si="784"/>
        <v>0</v>
      </c>
      <c r="CO164" s="190">
        <f t="shared" si="784"/>
        <v>1750</v>
      </c>
      <c r="CP164" s="190">
        <f t="shared" si="784"/>
        <v>30</v>
      </c>
      <c r="CQ164" s="190">
        <f t="shared" ref="CQ164:DT164" si="785">+CQ162+CQ163</f>
        <v>1680</v>
      </c>
      <c r="CR164" s="190">
        <f t="shared" si="785"/>
        <v>12</v>
      </c>
      <c r="CS164" s="190">
        <f t="shared" si="785"/>
        <v>1680</v>
      </c>
      <c r="CT164" s="190">
        <f t="shared" si="785"/>
        <v>12</v>
      </c>
      <c r="CU164" s="190">
        <f t="shared" si="785"/>
        <v>1680</v>
      </c>
      <c r="CV164" s="190">
        <f t="shared" si="785"/>
        <v>42</v>
      </c>
      <c r="CW164" s="190">
        <f t="shared" si="785"/>
        <v>420</v>
      </c>
      <c r="CX164" s="190">
        <f t="shared" si="785"/>
        <v>35</v>
      </c>
      <c r="CY164" s="190">
        <f t="shared" si="785"/>
        <v>0</v>
      </c>
      <c r="CZ164" s="190">
        <f t="shared" si="785"/>
        <v>0</v>
      </c>
      <c r="DA164" s="190">
        <f t="shared" si="785"/>
        <v>980</v>
      </c>
      <c r="DB164" s="190">
        <f t="shared" si="785"/>
        <v>40</v>
      </c>
      <c r="DC164" s="190">
        <f t="shared" si="785"/>
        <v>987.71</v>
      </c>
      <c r="DD164" s="190">
        <f t="shared" si="785"/>
        <v>33.08</v>
      </c>
      <c r="DE164" s="190">
        <f t="shared" si="785"/>
        <v>-7.7100000000000364</v>
      </c>
      <c r="DF164" s="190">
        <f t="shared" si="785"/>
        <v>6.9200000000000017</v>
      </c>
      <c r="DG164" s="190">
        <f t="shared" si="785"/>
        <v>420</v>
      </c>
      <c r="DH164" s="190">
        <f t="shared" si="785"/>
        <v>10.5</v>
      </c>
      <c r="DI164" s="190">
        <f t="shared" si="785"/>
        <v>427.71000000000004</v>
      </c>
      <c r="DJ164" s="190">
        <f t="shared" si="785"/>
        <v>-1.7763568394002505E-15</v>
      </c>
      <c r="DK164" s="104">
        <f t="shared" si="577"/>
        <v>302.28999999999996</v>
      </c>
      <c r="DL164" s="104">
        <f t="shared" si="578"/>
        <v>2.0000000000000018</v>
      </c>
      <c r="DM164" s="104">
        <f t="shared" si="663"/>
        <v>272.28999999999996</v>
      </c>
      <c r="DN164" s="104">
        <f t="shared" si="664"/>
        <v>2.0000000000000018</v>
      </c>
      <c r="DO164" s="22">
        <f t="shared" si="785"/>
        <v>1710</v>
      </c>
      <c r="DP164" s="22">
        <f t="shared" si="785"/>
        <v>42</v>
      </c>
      <c r="DQ164" s="22">
        <f t="shared" si="785"/>
        <v>1750</v>
      </c>
      <c r="DR164" s="22">
        <f t="shared" si="785"/>
        <v>10</v>
      </c>
      <c r="DS164" s="22">
        <f t="shared" si="785"/>
        <v>0</v>
      </c>
      <c r="DT164" s="22">
        <f t="shared" si="785"/>
        <v>0</v>
      </c>
    </row>
    <row r="165" spans="1:126" ht="18.75">
      <c r="A165" s="18">
        <v>24</v>
      </c>
      <c r="B165" s="18" t="s">
        <v>261</v>
      </c>
      <c r="C165" s="19" t="s">
        <v>85</v>
      </c>
      <c r="D165" s="20" t="s">
        <v>262</v>
      </c>
      <c r="E165" s="21" t="s">
        <v>263</v>
      </c>
      <c r="F165" s="81">
        <v>752.46999999999991</v>
      </c>
      <c r="G165" s="81">
        <v>149.69</v>
      </c>
      <c r="H165" s="81">
        <v>752.46999999999991</v>
      </c>
      <c r="I165" s="22">
        <v>149.69</v>
      </c>
      <c r="J165" s="88">
        <v>800</v>
      </c>
      <c r="K165" s="88">
        <v>90</v>
      </c>
      <c r="L165" s="88">
        <v>0</v>
      </c>
      <c r="M165" s="88">
        <f>+L165+K165+J165</f>
        <v>890</v>
      </c>
      <c r="N165" s="88">
        <v>0</v>
      </c>
      <c r="O165" s="88">
        <v>0</v>
      </c>
      <c r="P165" s="88">
        <v>0</v>
      </c>
      <c r="Q165" s="88">
        <f>+P165+O165+N165</f>
        <v>0</v>
      </c>
      <c r="R165" s="88">
        <f>+Q165+M165</f>
        <v>890</v>
      </c>
      <c r="S165" s="88">
        <v>100</v>
      </c>
      <c r="V165" s="22">
        <f t="shared" ref="V165:V166" si="786">ROUND(H165*1.0583,2)</f>
        <v>796.34</v>
      </c>
      <c r="W165" s="22">
        <f t="shared" ref="W165:W166" si="787">ROUND(I165*1.0327,2)</f>
        <v>154.58000000000001</v>
      </c>
      <c r="X165" s="22">
        <f t="shared" si="642"/>
        <v>93.659999999999968</v>
      </c>
      <c r="Y165" s="22">
        <f t="shared" si="643"/>
        <v>-54.580000000000013</v>
      </c>
      <c r="Z165" s="22">
        <v>796.34</v>
      </c>
      <c r="AA165" s="22"/>
      <c r="AB165" s="22">
        <f t="shared" si="644"/>
        <v>796.34</v>
      </c>
      <c r="AC165" s="109">
        <f t="shared" si="645"/>
        <v>0</v>
      </c>
      <c r="AD165" s="22">
        <f t="shared" ref="AD165:AD166" si="788">IF(X165&gt;0,V165,R165)</f>
        <v>796.34</v>
      </c>
      <c r="AE165" s="22">
        <f t="shared" ref="AE165" si="789">IF(Y165&gt;0,W165,S165)</f>
        <v>100</v>
      </c>
      <c r="AF165" s="22">
        <f t="shared" si="646"/>
        <v>90.22</v>
      </c>
      <c r="AG165" s="108">
        <f t="shared" si="647"/>
        <v>199</v>
      </c>
      <c r="AH165" s="108">
        <f t="shared" si="648"/>
        <v>25</v>
      </c>
      <c r="AI165" s="127">
        <f t="shared" si="649"/>
        <v>66</v>
      </c>
      <c r="AJ165" s="108">
        <f t="shared" si="650"/>
        <v>8</v>
      </c>
      <c r="AM165" s="108">
        <f>ROUND(AD165*25%,2)+70.91</f>
        <v>270</v>
      </c>
      <c r="AN165" s="108">
        <f>ROUND(AE165*24.35%,2)-14.35+40</f>
        <v>50</v>
      </c>
      <c r="AQ165" s="108">
        <f t="shared" si="653"/>
        <v>469</v>
      </c>
      <c r="AR165" s="108">
        <f t="shared" si="654"/>
        <v>75</v>
      </c>
      <c r="AT165" s="116"/>
      <c r="AU165" s="116">
        <f t="shared" si="749"/>
        <v>199.09</v>
      </c>
      <c r="AV165" s="116">
        <f t="shared" si="772"/>
        <v>25</v>
      </c>
      <c r="AW165" s="116"/>
      <c r="AX165" s="143">
        <v>50</v>
      </c>
      <c r="AY165" s="116">
        <f t="shared" si="633"/>
        <v>734.09</v>
      </c>
      <c r="AZ165" s="108">
        <f t="shared" si="634"/>
        <v>158</v>
      </c>
      <c r="BA165" s="108">
        <f t="shared" si="635"/>
        <v>892.09</v>
      </c>
      <c r="BB165" s="139">
        <v>688.32</v>
      </c>
      <c r="BC165" s="139">
        <v>150.68</v>
      </c>
      <c r="BD165" s="139">
        <f t="shared" si="636"/>
        <v>45.769999999999982</v>
      </c>
      <c r="BE165" s="139">
        <f t="shared" si="637"/>
        <v>7.3199999999999932</v>
      </c>
      <c r="BF165" s="139">
        <f t="shared" si="638"/>
        <v>137.66</v>
      </c>
      <c r="BG165" s="139">
        <f t="shared" si="639"/>
        <v>30.14</v>
      </c>
      <c r="BH165" s="108">
        <v>22.28</v>
      </c>
      <c r="BI165" s="108">
        <v>0</v>
      </c>
      <c r="BJ165" s="108">
        <v>30</v>
      </c>
      <c r="BL165" s="108">
        <f t="shared" si="662"/>
        <v>786.37</v>
      </c>
      <c r="BM165" s="108">
        <f t="shared" si="679"/>
        <v>158</v>
      </c>
      <c r="BN165" s="108">
        <f t="shared" si="680"/>
        <v>944.37</v>
      </c>
      <c r="BO165" s="108">
        <v>783.77</v>
      </c>
      <c r="BP165" s="127">
        <v>151.13999999999999</v>
      </c>
      <c r="BQ165" s="108">
        <f t="shared" si="681"/>
        <v>2.6000000000000227</v>
      </c>
      <c r="BR165" s="108">
        <f t="shared" si="682"/>
        <v>6.8600000000000136</v>
      </c>
      <c r="BS165" s="108">
        <f t="shared" si="683"/>
        <v>71.25</v>
      </c>
      <c r="BT165" s="108">
        <f t="shared" si="684"/>
        <v>13.74</v>
      </c>
      <c r="BU165" s="108">
        <f t="shared" si="745"/>
        <v>68.649999999999977</v>
      </c>
      <c r="BV165" s="108">
        <v>0</v>
      </c>
      <c r="BW165" s="109">
        <v>4</v>
      </c>
      <c r="BY165" s="108">
        <v>1.1599999999999999</v>
      </c>
      <c r="CA165" s="108">
        <v>859.02</v>
      </c>
      <c r="CB165" s="108">
        <v>156.84</v>
      </c>
      <c r="CC165">
        <v>944.92</v>
      </c>
      <c r="CD165">
        <v>180.37</v>
      </c>
      <c r="CE165" s="189">
        <v>79</v>
      </c>
      <c r="CF165" s="189">
        <v>15</v>
      </c>
      <c r="CG165" s="189">
        <f t="shared" si="685"/>
        <v>214.76</v>
      </c>
      <c r="CH165" s="189">
        <f t="shared" si="686"/>
        <v>39.21</v>
      </c>
      <c r="CI165" s="150"/>
      <c r="CJ165" s="150"/>
      <c r="CK165" s="150">
        <v>240</v>
      </c>
      <c r="CL165" s="150">
        <f>48-5</f>
        <v>43</v>
      </c>
      <c r="CM165" s="150"/>
      <c r="CN165" s="150">
        <v>1</v>
      </c>
      <c r="CO165" s="150">
        <v>800</v>
      </c>
      <c r="CP165" s="150">
        <v>100</v>
      </c>
      <c r="CQ165" s="150">
        <f t="shared" si="687"/>
        <v>960</v>
      </c>
      <c r="CR165" s="150">
        <f t="shared" si="688"/>
        <v>172</v>
      </c>
      <c r="CS165" s="150">
        <f t="shared" si="689"/>
        <v>800</v>
      </c>
      <c r="CT165" s="150">
        <f t="shared" si="690"/>
        <v>100</v>
      </c>
      <c r="CU165" s="150">
        <f t="shared" ref="CU165" si="790">IF(CQ165&lt;CS165,CQ165,CS165)</f>
        <v>800</v>
      </c>
      <c r="CV165" s="150">
        <f t="shared" ref="CV165" si="791">IF(CR165&lt;CT165,CR165,CT165)</f>
        <v>100</v>
      </c>
      <c r="CW165" s="150">
        <f t="shared" si="691"/>
        <v>200</v>
      </c>
      <c r="CX165" s="150">
        <f t="shared" si="575"/>
        <v>25</v>
      </c>
      <c r="CY165" s="150">
        <v>18</v>
      </c>
      <c r="CZ165" s="150"/>
      <c r="DA165" s="150">
        <f t="shared" si="692"/>
        <v>537</v>
      </c>
      <c r="DB165" s="150">
        <f t="shared" si="693"/>
        <v>84</v>
      </c>
      <c r="DC165" s="150">
        <v>535.4</v>
      </c>
      <c r="DD165" s="150">
        <v>75.23</v>
      </c>
      <c r="DE165" s="150">
        <f t="shared" si="694"/>
        <v>1.6000000000000227</v>
      </c>
      <c r="DF165" s="150">
        <f t="shared" si="695"/>
        <v>8.769999999999996</v>
      </c>
      <c r="DG165" s="150">
        <f t="shared" ref="DG165:DH167" si="792">ROUND(0.25*(MIN(CU165,DO165)),2)</f>
        <v>200</v>
      </c>
      <c r="DH165" s="150">
        <f t="shared" si="792"/>
        <v>25</v>
      </c>
      <c r="DI165" s="150">
        <f>+DG165-DE165</f>
        <v>198.39999999999998</v>
      </c>
      <c r="DJ165" s="150">
        <f>+DH165-DF165-0.23</f>
        <v>16.000000000000004</v>
      </c>
      <c r="DK165" s="104">
        <f t="shared" si="577"/>
        <v>170.60000000000002</v>
      </c>
      <c r="DL165" s="104">
        <f t="shared" si="578"/>
        <v>1.9999999999999964</v>
      </c>
      <c r="DM165" s="104">
        <f t="shared" si="663"/>
        <v>64.600000000000023</v>
      </c>
      <c r="DN165" s="104">
        <f t="shared" si="664"/>
        <v>0</v>
      </c>
      <c r="DO165" s="104">
        <v>906</v>
      </c>
      <c r="DP165" s="104">
        <v>102</v>
      </c>
      <c r="DQ165" s="104">
        <v>0</v>
      </c>
      <c r="DR165" s="104">
        <v>0</v>
      </c>
    </row>
    <row r="166" spans="1:126" ht="18.75">
      <c r="A166" s="13">
        <v>25</v>
      </c>
      <c r="B166" s="13"/>
      <c r="C166" s="14"/>
      <c r="D166" s="55" t="s">
        <v>264</v>
      </c>
      <c r="E166" s="16"/>
      <c r="F166" s="81">
        <v>1017.7700000000001</v>
      </c>
      <c r="G166" s="81">
        <v>21.319999999999997</v>
      </c>
      <c r="H166" s="81">
        <v>1040.0900000000001</v>
      </c>
      <c r="I166" s="17">
        <v>1.999999999999998</v>
      </c>
      <c r="J166" s="86">
        <v>1085</v>
      </c>
      <c r="K166" s="87">
        <v>0</v>
      </c>
      <c r="L166" s="87">
        <v>0</v>
      </c>
      <c r="M166" s="87">
        <f t="shared" ref="M166:M167" si="793">J166+K166+L166</f>
        <v>1085</v>
      </c>
      <c r="N166" s="87">
        <v>0</v>
      </c>
      <c r="O166" s="87">
        <v>0</v>
      </c>
      <c r="P166" s="87">
        <v>0</v>
      </c>
      <c r="Q166" s="87">
        <f t="shared" ref="Q166:Q167" si="794">N166+O166+P166</f>
        <v>0</v>
      </c>
      <c r="R166" s="87">
        <f t="shared" ref="R166:R167" si="795">+Q166+M166</f>
        <v>1085</v>
      </c>
      <c r="S166" s="87">
        <v>2</v>
      </c>
      <c r="V166" s="17">
        <f t="shared" si="786"/>
        <v>1100.73</v>
      </c>
      <c r="W166" s="17">
        <f t="shared" si="787"/>
        <v>2.0699999999999998</v>
      </c>
      <c r="X166" s="108">
        <f t="shared" si="642"/>
        <v>-15.730000000000018</v>
      </c>
      <c r="Y166" s="108">
        <f t="shared" si="643"/>
        <v>-6.999999999999984E-2</v>
      </c>
      <c r="Z166" s="108">
        <v>1085</v>
      </c>
      <c r="AA166" s="108"/>
      <c r="AB166" s="108">
        <f t="shared" si="644"/>
        <v>1085</v>
      </c>
      <c r="AC166" s="109">
        <f t="shared" si="645"/>
        <v>0</v>
      </c>
      <c r="AD166" s="108">
        <f t="shared" si="788"/>
        <v>1085</v>
      </c>
      <c r="AE166" s="108">
        <f>IF(Y166&gt;0,W166,S166)+23</f>
        <v>25</v>
      </c>
      <c r="AF166" s="108">
        <f t="shared" si="646"/>
        <v>1.8</v>
      </c>
      <c r="AG166" s="108">
        <f t="shared" si="647"/>
        <v>271</v>
      </c>
      <c r="AH166" s="108">
        <v>25</v>
      </c>
      <c r="AI166" s="127">
        <f t="shared" si="649"/>
        <v>90</v>
      </c>
      <c r="AJ166" s="108">
        <v>0</v>
      </c>
      <c r="AM166" s="108">
        <f t="shared" si="651"/>
        <v>271.25</v>
      </c>
      <c r="AN166" s="108">
        <f>ROUND(AE166*24.35%,2)-6.09</f>
        <v>0</v>
      </c>
      <c r="AQ166" s="108">
        <f t="shared" si="653"/>
        <v>542.25</v>
      </c>
      <c r="AR166" s="108">
        <f t="shared" si="654"/>
        <v>25</v>
      </c>
      <c r="AT166" s="116"/>
      <c r="AU166" s="116">
        <f t="shared" si="749"/>
        <v>271.25</v>
      </c>
      <c r="AV166" s="116">
        <f>ROUND(AE166*25%,2)+9</f>
        <v>15.25</v>
      </c>
      <c r="AW166" s="143">
        <v>20</v>
      </c>
      <c r="AX166" s="116"/>
      <c r="AY166" s="116">
        <f t="shared" si="633"/>
        <v>923.5</v>
      </c>
      <c r="AZ166" s="108">
        <f t="shared" si="634"/>
        <v>40.25</v>
      </c>
      <c r="BA166" s="108">
        <f t="shared" si="635"/>
        <v>963.75</v>
      </c>
      <c r="BB166" s="139">
        <v>915.3</v>
      </c>
      <c r="BC166" s="139">
        <v>40.22</v>
      </c>
      <c r="BD166" s="139">
        <f t="shared" si="636"/>
        <v>8.2000000000000455</v>
      </c>
      <c r="BE166" s="139">
        <f t="shared" si="637"/>
        <v>3.0000000000001137E-2</v>
      </c>
      <c r="BF166" s="139">
        <f t="shared" si="638"/>
        <v>183.06</v>
      </c>
      <c r="BG166" s="139">
        <f t="shared" si="639"/>
        <v>8.0399999999999991</v>
      </c>
      <c r="BH166" s="143">
        <v>138.75</v>
      </c>
      <c r="BI166" s="143">
        <v>9.01</v>
      </c>
      <c r="BJ166" s="143"/>
      <c r="BK166" s="143"/>
      <c r="BL166" s="108">
        <f t="shared" si="662"/>
        <v>1062.25</v>
      </c>
      <c r="BM166" s="108">
        <f t="shared" si="679"/>
        <v>49.26</v>
      </c>
      <c r="BN166" s="108">
        <f t="shared" si="680"/>
        <v>1111.51</v>
      </c>
      <c r="BO166" s="108">
        <v>1009.24</v>
      </c>
      <c r="BP166" s="127">
        <v>40.35</v>
      </c>
      <c r="BQ166" s="108">
        <f t="shared" si="681"/>
        <v>53.009999999999991</v>
      </c>
      <c r="BR166" s="108">
        <f t="shared" si="682"/>
        <v>8.9099999999999966</v>
      </c>
      <c r="BS166" s="108">
        <f t="shared" si="683"/>
        <v>91.75</v>
      </c>
      <c r="BT166" s="108">
        <f t="shared" si="684"/>
        <v>3.67</v>
      </c>
      <c r="BU166" s="143">
        <f>BS166-BQ166+100.71</f>
        <v>139.44999999999999</v>
      </c>
      <c r="BV166" s="143">
        <v>9.76</v>
      </c>
      <c r="BW166" s="143"/>
      <c r="BX166" s="143"/>
      <c r="BY166" s="143"/>
      <c r="BZ166" s="143"/>
      <c r="CA166" s="108">
        <v>1201.7</v>
      </c>
      <c r="CB166" s="108">
        <v>59.019999999999996</v>
      </c>
      <c r="CC166">
        <v>1321.87</v>
      </c>
      <c r="CD166">
        <v>67.87</v>
      </c>
      <c r="CE166" s="189">
        <v>110</v>
      </c>
      <c r="CF166" s="189">
        <v>6</v>
      </c>
      <c r="CG166" s="189">
        <f t="shared" si="685"/>
        <v>300.43</v>
      </c>
      <c r="CH166" s="189">
        <f t="shared" si="686"/>
        <v>14.76</v>
      </c>
      <c r="CI166" s="150"/>
      <c r="CJ166" s="150"/>
      <c r="CK166" s="150">
        <v>311</v>
      </c>
      <c r="CL166" s="150">
        <v>15</v>
      </c>
      <c r="CM166" s="150"/>
      <c r="CN166" s="150"/>
      <c r="CO166" s="150">
        <v>1220</v>
      </c>
      <c r="CP166" s="150">
        <v>65</v>
      </c>
      <c r="CQ166" s="150">
        <f t="shared" si="687"/>
        <v>1244</v>
      </c>
      <c r="CR166" s="150">
        <f t="shared" si="688"/>
        <v>60</v>
      </c>
      <c r="CS166" s="150">
        <f t="shared" si="689"/>
        <v>1220</v>
      </c>
      <c r="CT166" s="150">
        <f t="shared" si="690"/>
        <v>60</v>
      </c>
      <c r="CU166" s="150">
        <v>1255</v>
      </c>
      <c r="CV166" s="150">
        <v>25</v>
      </c>
      <c r="CW166" s="150">
        <f t="shared" si="691"/>
        <v>313.75</v>
      </c>
      <c r="CX166" s="150">
        <f>ROUND(CV166*25%,2)-2.25</f>
        <v>4</v>
      </c>
      <c r="CY166" s="150"/>
      <c r="CZ166" s="150"/>
      <c r="DA166" s="150">
        <f t="shared" si="692"/>
        <v>734.75</v>
      </c>
      <c r="DB166" s="150">
        <f t="shared" si="693"/>
        <v>25</v>
      </c>
      <c r="DC166" s="150">
        <v>719.04</v>
      </c>
      <c r="DD166" s="150">
        <v>21.68</v>
      </c>
      <c r="DE166" s="150">
        <f t="shared" si="694"/>
        <v>15.710000000000036</v>
      </c>
      <c r="DF166" s="150">
        <f t="shared" si="695"/>
        <v>3.3200000000000003</v>
      </c>
      <c r="DG166" s="150">
        <f t="shared" si="792"/>
        <v>313.75</v>
      </c>
      <c r="DH166" s="150">
        <f t="shared" si="792"/>
        <v>6.25</v>
      </c>
      <c r="DI166" s="150">
        <f>+DG166-DE166</f>
        <v>298.03999999999996</v>
      </c>
      <c r="DJ166" s="150">
        <f>+DH166-DF166-2.93</f>
        <v>0</v>
      </c>
      <c r="DK166" s="104">
        <f t="shared" si="577"/>
        <v>359.18000000000006</v>
      </c>
      <c r="DL166" s="104">
        <f t="shared" si="578"/>
        <v>13.329999999999998</v>
      </c>
      <c r="DM166" s="104">
        <f t="shared" si="663"/>
        <v>222.21000000000004</v>
      </c>
      <c r="DN166" s="104">
        <f t="shared" si="664"/>
        <v>0</v>
      </c>
      <c r="DO166" s="104">
        <v>1391.97</v>
      </c>
      <c r="DP166" s="104">
        <v>38.33</v>
      </c>
      <c r="DQ166" s="104">
        <v>1450</v>
      </c>
      <c r="DR166" s="104">
        <v>60</v>
      </c>
    </row>
    <row r="167" spans="1:126" ht="37.5">
      <c r="A167" s="43">
        <v>26</v>
      </c>
      <c r="B167" s="43"/>
      <c r="C167" s="44"/>
      <c r="D167" s="55" t="s">
        <v>265</v>
      </c>
      <c r="E167" s="56"/>
      <c r="F167" s="81">
        <v>0</v>
      </c>
      <c r="G167" s="81">
        <v>0</v>
      </c>
      <c r="H167" s="81">
        <v>0</v>
      </c>
      <c r="I167" s="57">
        <v>0</v>
      </c>
      <c r="J167" s="94">
        <v>0</v>
      </c>
      <c r="K167" s="87">
        <v>0</v>
      </c>
      <c r="L167" s="87">
        <v>0</v>
      </c>
      <c r="M167" s="87">
        <f t="shared" si="793"/>
        <v>0</v>
      </c>
      <c r="N167" s="87">
        <v>0</v>
      </c>
      <c r="O167" s="87">
        <v>0</v>
      </c>
      <c r="P167" s="87">
        <v>0</v>
      </c>
      <c r="Q167" s="87">
        <f t="shared" si="794"/>
        <v>0</v>
      </c>
      <c r="R167" s="87">
        <f t="shared" si="795"/>
        <v>0</v>
      </c>
      <c r="S167" s="87">
        <v>0</v>
      </c>
      <c r="V167" s="17">
        <f t="shared" ref="V167" si="796">ROUND(H167*1.0583,2)</f>
        <v>0</v>
      </c>
      <c r="W167" s="17">
        <f t="shared" ref="W167" si="797">ROUND(I167*1.0327,2)</f>
        <v>0</v>
      </c>
      <c r="X167" s="108">
        <f t="shared" si="642"/>
        <v>0</v>
      </c>
      <c r="Y167" s="108">
        <f t="shared" si="643"/>
        <v>0</v>
      </c>
      <c r="Z167" s="108">
        <v>0</v>
      </c>
      <c r="AA167" s="108"/>
      <c r="AB167" s="108">
        <f t="shared" si="644"/>
        <v>0</v>
      </c>
      <c r="AC167" s="109">
        <f t="shared" si="645"/>
        <v>0</v>
      </c>
      <c r="AD167" s="108">
        <f t="shared" ref="AD167" si="798">IF(X167&gt;0,V167,R167)</f>
        <v>0</v>
      </c>
      <c r="AE167" s="108">
        <f t="shared" ref="AE167" si="799">IF(Y167&gt;0,W167,S167)</f>
        <v>0</v>
      </c>
      <c r="AF167" s="108">
        <f t="shared" si="646"/>
        <v>0</v>
      </c>
      <c r="AG167" s="108">
        <f t="shared" si="647"/>
        <v>0</v>
      </c>
      <c r="AH167" s="108">
        <f t="shared" si="648"/>
        <v>0</v>
      </c>
      <c r="AI167" s="127">
        <f t="shared" si="649"/>
        <v>0</v>
      </c>
      <c r="AJ167" s="108">
        <f t="shared" si="650"/>
        <v>0</v>
      </c>
      <c r="AM167" s="108">
        <f t="shared" si="651"/>
        <v>0</v>
      </c>
      <c r="AN167" s="108">
        <f t="shared" si="652"/>
        <v>0</v>
      </c>
      <c r="AQ167" s="108">
        <f t="shared" si="653"/>
        <v>0</v>
      </c>
      <c r="AR167" s="108">
        <f t="shared" si="654"/>
        <v>0</v>
      </c>
      <c r="AU167" s="108">
        <f t="shared" si="749"/>
        <v>0</v>
      </c>
      <c r="AV167" s="108">
        <f t="shared" si="772"/>
        <v>0</v>
      </c>
      <c r="AY167" s="108">
        <f t="shared" si="633"/>
        <v>0</v>
      </c>
      <c r="AZ167" s="108">
        <f t="shared" si="634"/>
        <v>0</v>
      </c>
      <c r="BA167" s="108">
        <f t="shared" si="635"/>
        <v>0</v>
      </c>
      <c r="BB167" s="139">
        <v>0</v>
      </c>
      <c r="BD167" s="139">
        <f t="shared" si="636"/>
        <v>0</v>
      </c>
      <c r="BE167" s="139">
        <f t="shared" si="637"/>
        <v>0</v>
      </c>
      <c r="BF167" s="139">
        <f t="shared" si="638"/>
        <v>0</v>
      </c>
      <c r="BG167" s="139">
        <f t="shared" si="639"/>
        <v>0</v>
      </c>
      <c r="BH167" s="108">
        <v>0</v>
      </c>
      <c r="BI167" s="108">
        <v>0</v>
      </c>
      <c r="BL167" s="108">
        <f t="shared" si="662"/>
        <v>0</v>
      </c>
      <c r="BM167" s="108">
        <f t="shared" si="679"/>
        <v>0</v>
      </c>
      <c r="BN167" s="108">
        <f t="shared" si="680"/>
        <v>0</v>
      </c>
      <c r="BO167" s="108">
        <v>0</v>
      </c>
      <c r="BP167" s="127"/>
      <c r="BQ167" s="108">
        <f t="shared" si="681"/>
        <v>0</v>
      </c>
      <c r="BR167" s="108">
        <f t="shared" si="682"/>
        <v>0</v>
      </c>
      <c r="BS167" s="108">
        <f t="shared" si="683"/>
        <v>0</v>
      </c>
      <c r="BT167" s="108">
        <f t="shared" si="684"/>
        <v>0</v>
      </c>
      <c r="BU167" s="143">
        <f t="shared" si="745"/>
        <v>0</v>
      </c>
      <c r="BV167" s="143">
        <v>0</v>
      </c>
      <c r="BW167" s="143"/>
      <c r="BX167" s="143"/>
      <c r="BY167" s="143"/>
      <c r="BZ167" s="143"/>
      <c r="CA167" s="108">
        <v>0</v>
      </c>
      <c r="CB167" s="108">
        <v>0</v>
      </c>
      <c r="CC167">
        <v>0</v>
      </c>
      <c r="CD167">
        <v>0</v>
      </c>
      <c r="CE167" s="189">
        <v>0</v>
      </c>
      <c r="CF167" s="189">
        <v>0</v>
      </c>
      <c r="CG167" s="189">
        <f t="shared" si="685"/>
        <v>0</v>
      </c>
      <c r="CH167" s="189">
        <f t="shared" si="686"/>
        <v>0</v>
      </c>
      <c r="CI167" s="150"/>
      <c r="CJ167" s="150"/>
      <c r="CK167" s="150">
        <v>0</v>
      </c>
      <c r="CL167" s="150">
        <v>0</v>
      </c>
      <c r="CM167" s="150"/>
      <c r="CN167" s="150"/>
      <c r="CO167" s="150"/>
      <c r="CP167" s="150"/>
      <c r="CQ167" s="150">
        <f t="shared" si="687"/>
        <v>0</v>
      </c>
      <c r="CR167" s="150">
        <f t="shared" si="688"/>
        <v>0</v>
      </c>
      <c r="CS167" s="150">
        <f t="shared" si="689"/>
        <v>0</v>
      </c>
      <c r="CT167" s="150">
        <f t="shared" si="690"/>
        <v>0</v>
      </c>
      <c r="CU167" s="150">
        <f t="shared" ref="CU167" si="800">IF(CQ167&lt;CS167,CQ167,CS167)</f>
        <v>0</v>
      </c>
      <c r="CV167" s="150">
        <f t="shared" ref="CV167" si="801">IF(CR167&lt;CT167,CR167,CT167)</f>
        <v>0</v>
      </c>
      <c r="CW167" s="150">
        <f t="shared" si="691"/>
        <v>0</v>
      </c>
      <c r="CX167" s="150">
        <f t="shared" si="575"/>
        <v>0</v>
      </c>
      <c r="CY167" s="150"/>
      <c r="CZ167" s="150"/>
      <c r="DA167" s="150">
        <f t="shared" si="692"/>
        <v>0</v>
      </c>
      <c r="DB167" s="150">
        <f t="shared" si="693"/>
        <v>0</v>
      </c>
      <c r="DC167" s="150">
        <v>0</v>
      </c>
      <c r="DD167" s="150">
        <v>0</v>
      </c>
      <c r="DE167" s="150">
        <f t="shared" si="694"/>
        <v>0</v>
      </c>
      <c r="DF167" s="150">
        <f t="shared" si="695"/>
        <v>0</v>
      </c>
      <c r="DG167" s="150">
        <f t="shared" si="792"/>
        <v>0</v>
      </c>
      <c r="DH167" s="150">
        <f t="shared" si="792"/>
        <v>0</v>
      </c>
      <c r="DI167" s="150">
        <f>+DG167-DE167</f>
        <v>0</v>
      </c>
      <c r="DJ167" s="150">
        <f>+DH167-DF167</f>
        <v>0</v>
      </c>
      <c r="DK167" s="104">
        <f t="shared" si="577"/>
        <v>0</v>
      </c>
      <c r="DL167" s="104">
        <f t="shared" si="578"/>
        <v>0</v>
      </c>
      <c r="DM167" s="104">
        <f t="shared" si="663"/>
        <v>0</v>
      </c>
      <c r="DN167" s="104">
        <f t="shared" si="664"/>
        <v>0</v>
      </c>
      <c r="DO167" s="104">
        <v>0</v>
      </c>
      <c r="DP167" s="104">
        <v>0</v>
      </c>
      <c r="DQ167" s="104">
        <v>0</v>
      </c>
      <c r="DR167" s="104">
        <v>0</v>
      </c>
    </row>
    <row r="168" spans="1:126" ht="18.75">
      <c r="A168" s="18"/>
      <c r="B168" s="18" t="s">
        <v>266</v>
      </c>
      <c r="C168" s="19" t="s">
        <v>118</v>
      </c>
      <c r="D168" s="20" t="s">
        <v>264</v>
      </c>
      <c r="E168" s="21" t="s">
        <v>267</v>
      </c>
      <c r="F168" s="22">
        <v>1017.7700000000001</v>
      </c>
      <c r="G168" s="22">
        <v>21.319999999999997</v>
      </c>
      <c r="H168" s="22">
        <v>1040.0900000000001</v>
      </c>
      <c r="I168" s="22">
        <v>1.999999999999998</v>
      </c>
      <c r="J168" s="88">
        <f t="shared" ref="J168:AA168" si="802">+J166+J167</f>
        <v>1085</v>
      </c>
      <c r="K168" s="88">
        <f t="shared" si="802"/>
        <v>0</v>
      </c>
      <c r="L168" s="88">
        <f t="shared" si="802"/>
        <v>0</v>
      </c>
      <c r="M168" s="88">
        <f t="shared" si="802"/>
        <v>1085</v>
      </c>
      <c r="N168" s="88">
        <f t="shared" si="802"/>
        <v>0</v>
      </c>
      <c r="O168" s="88">
        <f t="shared" si="802"/>
        <v>0</v>
      </c>
      <c r="P168" s="88">
        <f t="shared" si="802"/>
        <v>0</v>
      </c>
      <c r="Q168" s="88">
        <f t="shared" si="802"/>
        <v>0</v>
      </c>
      <c r="R168" s="88">
        <f t="shared" si="802"/>
        <v>1085</v>
      </c>
      <c r="S168" s="88">
        <f t="shared" si="802"/>
        <v>2</v>
      </c>
      <c r="T168" s="88">
        <f t="shared" si="802"/>
        <v>0</v>
      </c>
      <c r="U168" s="88">
        <f t="shared" si="802"/>
        <v>0</v>
      </c>
      <c r="V168" s="88">
        <f t="shared" si="802"/>
        <v>1100.73</v>
      </c>
      <c r="W168" s="88">
        <f t="shared" si="802"/>
        <v>2.0699999999999998</v>
      </c>
      <c r="X168" s="88">
        <f t="shared" si="802"/>
        <v>-15.730000000000018</v>
      </c>
      <c r="Y168" s="88">
        <f t="shared" si="802"/>
        <v>-6.999999999999984E-2</v>
      </c>
      <c r="Z168" s="88">
        <f t="shared" si="802"/>
        <v>1085</v>
      </c>
      <c r="AA168" s="88">
        <f t="shared" si="802"/>
        <v>0</v>
      </c>
      <c r="AB168" s="22">
        <f t="shared" si="644"/>
        <v>1085</v>
      </c>
      <c r="AC168" s="109">
        <f t="shared" si="645"/>
        <v>0</v>
      </c>
      <c r="AD168" s="22">
        <f t="shared" ref="AD168:CP168" si="803">+AD166+AD167</f>
        <v>1085</v>
      </c>
      <c r="AE168" s="22">
        <f t="shared" si="803"/>
        <v>25</v>
      </c>
      <c r="AF168" s="22">
        <f t="shared" si="803"/>
        <v>1.8</v>
      </c>
      <c r="AG168" s="22">
        <f t="shared" si="803"/>
        <v>271</v>
      </c>
      <c r="AH168" s="22">
        <f t="shared" si="803"/>
        <v>25</v>
      </c>
      <c r="AI168" s="118">
        <f t="shared" si="803"/>
        <v>90</v>
      </c>
      <c r="AJ168" s="22">
        <f t="shared" si="803"/>
        <v>0</v>
      </c>
      <c r="AK168" s="22">
        <f t="shared" si="803"/>
        <v>0</v>
      </c>
      <c r="AL168" s="22">
        <f t="shared" si="803"/>
        <v>0</v>
      </c>
      <c r="AM168" s="22">
        <f t="shared" si="803"/>
        <v>271.25</v>
      </c>
      <c r="AN168" s="22">
        <f t="shared" si="803"/>
        <v>0</v>
      </c>
      <c r="AO168" s="22">
        <f t="shared" si="803"/>
        <v>0</v>
      </c>
      <c r="AP168" s="22">
        <f t="shared" si="803"/>
        <v>0</v>
      </c>
      <c r="AQ168" s="22">
        <f t="shared" si="803"/>
        <v>542.25</v>
      </c>
      <c r="AR168" s="22">
        <f t="shared" si="803"/>
        <v>25</v>
      </c>
      <c r="AS168" s="22">
        <f t="shared" si="803"/>
        <v>0</v>
      </c>
      <c r="AT168" s="22">
        <f t="shared" si="803"/>
        <v>0</v>
      </c>
      <c r="AU168" s="22">
        <f t="shared" si="803"/>
        <v>271.25</v>
      </c>
      <c r="AV168" s="22">
        <f t="shared" si="803"/>
        <v>15.25</v>
      </c>
      <c r="AW168" s="22">
        <f t="shared" si="803"/>
        <v>20</v>
      </c>
      <c r="AX168" s="22">
        <f t="shared" si="803"/>
        <v>0</v>
      </c>
      <c r="AY168" s="22">
        <f t="shared" si="803"/>
        <v>923.5</v>
      </c>
      <c r="AZ168" s="22">
        <f t="shared" si="803"/>
        <v>40.25</v>
      </c>
      <c r="BA168" s="22">
        <f t="shared" si="803"/>
        <v>963.75</v>
      </c>
      <c r="BB168" s="22">
        <f t="shared" si="803"/>
        <v>915.3</v>
      </c>
      <c r="BC168" s="22">
        <f t="shared" si="803"/>
        <v>40.22</v>
      </c>
      <c r="BD168" s="22">
        <f t="shared" si="803"/>
        <v>8.2000000000000455</v>
      </c>
      <c r="BE168" s="22">
        <f t="shared" si="803"/>
        <v>3.0000000000001137E-2</v>
      </c>
      <c r="BF168" s="22">
        <f t="shared" si="803"/>
        <v>183.06</v>
      </c>
      <c r="BG168" s="118">
        <f t="shared" si="803"/>
        <v>8.0399999999999991</v>
      </c>
      <c r="BH168" s="118">
        <f t="shared" si="803"/>
        <v>138.75</v>
      </c>
      <c r="BI168" s="118">
        <f t="shared" si="803"/>
        <v>9.01</v>
      </c>
      <c r="BJ168" s="118">
        <f t="shared" si="803"/>
        <v>0</v>
      </c>
      <c r="BK168" s="118">
        <f t="shared" si="803"/>
        <v>0</v>
      </c>
      <c r="BL168" s="118">
        <f t="shared" si="803"/>
        <v>1062.25</v>
      </c>
      <c r="BM168" s="118">
        <f t="shared" si="803"/>
        <v>49.26</v>
      </c>
      <c r="BN168" s="118">
        <f t="shared" si="803"/>
        <v>1111.51</v>
      </c>
      <c r="BO168" s="118">
        <f t="shared" si="803"/>
        <v>1009.24</v>
      </c>
      <c r="BP168" s="118">
        <f t="shared" si="803"/>
        <v>40.35</v>
      </c>
      <c r="BQ168" s="22">
        <f t="shared" si="803"/>
        <v>53.009999999999991</v>
      </c>
      <c r="BR168" s="22">
        <f t="shared" si="803"/>
        <v>8.9099999999999966</v>
      </c>
      <c r="BS168" s="22">
        <f t="shared" si="803"/>
        <v>91.75</v>
      </c>
      <c r="BT168" s="22">
        <f t="shared" si="803"/>
        <v>3.67</v>
      </c>
      <c r="BU168" s="22">
        <f t="shared" si="803"/>
        <v>139.44999999999999</v>
      </c>
      <c r="BV168" s="22">
        <f t="shared" si="803"/>
        <v>9.76</v>
      </c>
      <c r="BW168" s="22">
        <f t="shared" si="803"/>
        <v>0</v>
      </c>
      <c r="BX168" s="22">
        <f t="shared" si="803"/>
        <v>0</v>
      </c>
      <c r="BY168" s="22">
        <f t="shared" si="803"/>
        <v>0</v>
      </c>
      <c r="BZ168" s="22">
        <f t="shared" si="803"/>
        <v>0</v>
      </c>
      <c r="CA168" s="22">
        <f t="shared" si="803"/>
        <v>1201.7</v>
      </c>
      <c r="CB168" s="22">
        <f t="shared" si="803"/>
        <v>59.019999999999996</v>
      </c>
      <c r="CC168" s="22">
        <f t="shared" si="803"/>
        <v>1321.87</v>
      </c>
      <c r="CD168" s="118">
        <f t="shared" si="803"/>
        <v>67.87</v>
      </c>
      <c r="CE168" s="190">
        <f t="shared" si="803"/>
        <v>110</v>
      </c>
      <c r="CF168" s="190">
        <f t="shared" si="803"/>
        <v>6</v>
      </c>
      <c r="CG168" s="190">
        <f t="shared" si="803"/>
        <v>300.43</v>
      </c>
      <c r="CH168" s="190">
        <f t="shared" si="803"/>
        <v>14.76</v>
      </c>
      <c r="CI168" s="190">
        <f t="shared" si="803"/>
        <v>0</v>
      </c>
      <c r="CJ168" s="190">
        <f t="shared" si="803"/>
        <v>0</v>
      </c>
      <c r="CK168" s="190">
        <f t="shared" si="803"/>
        <v>311</v>
      </c>
      <c r="CL168" s="190">
        <f t="shared" si="803"/>
        <v>15</v>
      </c>
      <c r="CM168" s="190">
        <f t="shared" si="803"/>
        <v>0</v>
      </c>
      <c r="CN168" s="190">
        <f t="shared" si="803"/>
        <v>0</v>
      </c>
      <c r="CO168" s="190">
        <f t="shared" si="803"/>
        <v>1220</v>
      </c>
      <c r="CP168" s="190">
        <f t="shared" si="803"/>
        <v>65</v>
      </c>
      <c r="CQ168" s="190">
        <f t="shared" ref="CQ168:DT168" si="804">+CQ166+CQ167</f>
        <v>1244</v>
      </c>
      <c r="CR168" s="190">
        <f t="shared" si="804"/>
        <v>60</v>
      </c>
      <c r="CS168" s="190">
        <f t="shared" si="804"/>
        <v>1220</v>
      </c>
      <c r="CT168" s="190">
        <f t="shared" si="804"/>
        <v>60</v>
      </c>
      <c r="CU168" s="190">
        <f t="shared" si="804"/>
        <v>1255</v>
      </c>
      <c r="CV168" s="190">
        <f t="shared" si="804"/>
        <v>25</v>
      </c>
      <c r="CW168" s="190">
        <f t="shared" si="804"/>
        <v>313.75</v>
      </c>
      <c r="CX168" s="190">
        <f t="shared" si="804"/>
        <v>4</v>
      </c>
      <c r="CY168" s="190">
        <f t="shared" si="804"/>
        <v>0</v>
      </c>
      <c r="CZ168" s="190">
        <f t="shared" si="804"/>
        <v>0</v>
      </c>
      <c r="DA168" s="190">
        <f t="shared" si="804"/>
        <v>734.75</v>
      </c>
      <c r="DB168" s="190">
        <f t="shared" si="804"/>
        <v>25</v>
      </c>
      <c r="DC168" s="190">
        <f t="shared" si="804"/>
        <v>719.04</v>
      </c>
      <c r="DD168" s="190">
        <f t="shared" si="804"/>
        <v>21.68</v>
      </c>
      <c r="DE168" s="190">
        <f t="shared" si="804"/>
        <v>15.710000000000036</v>
      </c>
      <c r="DF168" s="190">
        <f t="shared" si="804"/>
        <v>3.3200000000000003</v>
      </c>
      <c r="DG168" s="190">
        <f t="shared" si="804"/>
        <v>313.75</v>
      </c>
      <c r="DH168" s="190">
        <f t="shared" si="804"/>
        <v>6.25</v>
      </c>
      <c r="DI168" s="190">
        <f t="shared" si="804"/>
        <v>298.03999999999996</v>
      </c>
      <c r="DJ168" s="190">
        <f t="shared" si="804"/>
        <v>0</v>
      </c>
      <c r="DK168" s="104">
        <f t="shared" si="577"/>
        <v>359.18000000000006</v>
      </c>
      <c r="DL168" s="104">
        <f t="shared" si="578"/>
        <v>13.329999999999998</v>
      </c>
      <c r="DM168" s="104">
        <f t="shared" si="663"/>
        <v>222.21000000000004</v>
      </c>
      <c r="DN168" s="104">
        <f t="shared" si="664"/>
        <v>0</v>
      </c>
      <c r="DO168" s="22">
        <f t="shared" si="804"/>
        <v>1391.97</v>
      </c>
      <c r="DP168" s="22">
        <f t="shared" si="804"/>
        <v>38.33</v>
      </c>
      <c r="DQ168" s="22">
        <f t="shared" si="804"/>
        <v>1450</v>
      </c>
      <c r="DR168" s="22">
        <f t="shared" si="804"/>
        <v>60</v>
      </c>
      <c r="DS168" s="22">
        <f t="shared" si="804"/>
        <v>0</v>
      </c>
      <c r="DT168" s="22">
        <f t="shared" si="804"/>
        <v>0</v>
      </c>
    </row>
    <row r="169" spans="1:126" ht="18.75">
      <c r="A169" s="18">
        <v>27</v>
      </c>
      <c r="B169" s="18" t="s">
        <v>268</v>
      </c>
      <c r="C169" s="19" t="s">
        <v>89</v>
      </c>
      <c r="D169" s="20" t="s">
        <v>269</v>
      </c>
      <c r="E169" s="21" t="s">
        <v>270</v>
      </c>
      <c r="F169" s="81">
        <v>648.83999999999992</v>
      </c>
      <c r="G169" s="81">
        <v>144.13</v>
      </c>
      <c r="H169" s="81">
        <v>648.83999999999992</v>
      </c>
      <c r="I169" s="22">
        <v>144.13</v>
      </c>
      <c r="J169" s="88">
        <v>745</v>
      </c>
      <c r="K169" s="88">
        <v>0</v>
      </c>
      <c r="L169" s="88">
        <v>0</v>
      </c>
      <c r="M169" s="88">
        <f>+L169+K169+J169</f>
        <v>745</v>
      </c>
      <c r="N169" s="88">
        <v>0</v>
      </c>
      <c r="O169" s="88">
        <v>0</v>
      </c>
      <c r="P169" s="88">
        <v>0</v>
      </c>
      <c r="Q169" s="88">
        <f>+P169+O169+N169</f>
        <v>0</v>
      </c>
      <c r="R169" s="88">
        <f>+Q169+M169</f>
        <v>745</v>
      </c>
      <c r="S169" s="88">
        <v>10</v>
      </c>
      <c r="V169" s="22">
        <f t="shared" ref="V169:V170" si="805">ROUND(H169*1.0583,2)</f>
        <v>686.67</v>
      </c>
      <c r="W169" s="22">
        <f t="shared" ref="W169:W170" si="806">ROUND(I169*1.0327,2)</f>
        <v>148.84</v>
      </c>
      <c r="X169" s="22">
        <f t="shared" si="642"/>
        <v>58.330000000000041</v>
      </c>
      <c r="Y169" s="22">
        <f t="shared" si="643"/>
        <v>-138.84</v>
      </c>
      <c r="Z169" s="22">
        <v>686.67</v>
      </c>
      <c r="AA169" s="22"/>
      <c r="AB169" s="22">
        <f t="shared" si="644"/>
        <v>686.67</v>
      </c>
      <c r="AC169" s="109">
        <f t="shared" si="645"/>
        <v>0</v>
      </c>
      <c r="AD169" s="22">
        <f t="shared" ref="AD169:AD171" si="807">IF(X169&gt;0,V169,R169)</f>
        <v>686.67</v>
      </c>
      <c r="AE169" s="22">
        <f t="shared" ref="AE169:AE171" si="808">IF(Y169&gt;0,W169,S169)</f>
        <v>10</v>
      </c>
      <c r="AF169" s="22">
        <f t="shared" si="646"/>
        <v>9.02</v>
      </c>
      <c r="AG169" s="108">
        <f t="shared" si="647"/>
        <v>172</v>
      </c>
      <c r="AH169" s="108">
        <f t="shared" si="648"/>
        <v>3</v>
      </c>
      <c r="AI169" s="127">
        <f t="shared" si="649"/>
        <v>57</v>
      </c>
      <c r="AJ169" s="108">
        <f t="shared" si="650"/>
        <v>1</v>
      </c>
      <c r="AM169" s="108">
        <f t="shared" si="651"/>
        <v>171.67</v>
      </c>
      <c r="AN169" s="108">
        <f t="shared" si="652"/>
        <v>2.44</v>
      </c>
      <c r="AQ169" s="108">
        <f t="shared" si="653"/>
        <v>343.66999999999996</v>
      </c>
      <c r="AR169" s="108">
        <f t="shared" si="654"/>
        <v>5.4399999999999995</v>
      </c>
      <c r="AS169" s="151"/>
      <c r="AT169" s="138"/>
      <c r="AU169" s="138">
        <f t="shared" si="749"/>
        <v>171.67</v>
      </c>
      <c r="AV169" s="138">
        <f t="shared" si="772"/>
        <v>2.5</v>
      </c>
      <c r="AW169" s="142">
        <v>35</v>
      </c>
      <c r="AX169" s="143">
        <v>28</v>
      </c>
      <c r="AY169" s="116">
        <f t="shared" si="633"/>
        <v>607.33999999999992</v>
      </c>
      <c r="AZ169" s="108">
        <f t="shared" si="634"/>
        <v>36.94</v>
      </c>
      <c r="BA169" s="108">
        <f t="shared" si="635"/>
        <v>644.28</v>
      </c>
      <c r="BB169" s="139">
        <v>606.27</v>
      </c>
      <c r="BC169" s="139">
        <v>6.18</v>
      </c>
      <c r="BD169" s="139">
        <f t="shared" si="636"/>
        <v>1.0699999999999363</v>
      </c>
      <c r="BE169" s="139">
        <f t="shared" si="637"/>
        <v>30.759999999999998</v>
      </c>
      <c r="BF169" s="139">
        <f t="shared" si="638"/>
        <v>121.25</v>
      </c>
      <c r="BG169" s="139">
        <f t="shared" si="639"/>
        <v>1.24</v>
      </c>
      <c r="BH169" s="108">
        <v>41.33</v>
      </c>
      <c r="BI169" s="108">
        <v>0</v>
      </c>
      <c r="BJ169" s="108">
        <v>32</v>
      </c>
      <c r="BK169" s="108">
        <v>0</v>
      </c>
      <c r="BL169" s="108">
        <f t="shared" si="662"/>
        <v>680.67</v>
      </c>
      <c r="BM169" s="108">
        <f t="shared" si="679"/>
        <v>36.94</v>
      </c>
      <c r="BN169" s="108">
        <f t="shared" si="680"/>
        <v>717.6099999999999</v>
      </c>
      <c r="BO169" s="108">
        <v>680.36</v>
      </c>
      <c r="BP169" s="127">
        <v>6.73</v>
      </c>
      <c r="BQ169" s="108">
        <f t="shared" si="681"/>
        <v>0.30999999999994543</v>
      </c>
      <c r="BR169" s="108">
        <f t="shared" si="682"/>
        <v>30.209999999999997</v>
      </c>
      <c r="BS169" s="108">
        <f t="shared" si="683"/>
        <v>61.85</v>
      </c>
      <c r="BT169" s="108">
        <f t="shared" si="684"/>
        <v>0.61</v>
      </c>
      <c r="BU169" s="143">
        <v>86.19</v>
      </c>
      <c r="BV169" s="108">
        <v>0</v>
      </c>
      <c r="BY169" s="108">
        <v>29.69</v>
      </c>
      <c r="CA169" s="108">
        <v>766.8599999999999</v>
      </c>
      <c r="CB169" s="108">
        <v>7.2499999999999964</v>
      </c>
      <c r="CC169">
        <v>843.55</v>
      </c>
      <c r="CD169">
        <v>8.34</v>
      </c>
      <c r="CE169" s="189">
        <v>70</v>
      </c>
      <c r="CF169" s="189">
        <v>1</v>
      </c>
      <c r="CG169" s="189">
        <f t="shared" si="685"/>
        <v>191.72</v>
      </c>
      <c r="CH169" s="189">
        <f t="shared" si="686"/>
        <v>1.81</v>
      </c>
      <c r="CI169" s="150"/>
      <c r="CJ169" s="150"/>
      <c r="CK169" s="150">
        <v>212</v>
      </c>
      <c r="CL169" s="150">
        <v>1</v>
      </c>
      <c r="CM169" s="150"/>
      <c r="CN169" s="150"/>
      <c r="CO169" s="150">
        <v>720</v>
      </c>
      <c r="CP169" s="150">
        <v>30</v>
      </c>
      <c r="CQ169" s="150">
        <f t="shared" si="687"/>
        <v>848</v>
      </c>
      <c r="CR169" s="150">
        <f t="shared" si="688"/>
        <v>4</v>
      </c>
      <c r="CS169" s="150">
        <f t="shared" si="689"/>
        <v>720</v>
      </c>
      <c r="CT169" s="150">
        <f t="shared" si="690"/>
        <v>4</v>
      </c>
      <c r="CU169" s="150">
        <v>890</v>
      </c>
      <c r="CV169" s="150">
        <v>2</v>
      </c>
      <c r="CW169" s="150">
        <f>ROUND(CU169*25%,2)+9.5+3</f>
        <v>235</v>
      </c>
      <c r="CX169" s="150">
        <f>ROUND(CV169*25%,2)-0.5</f>
        <v>0</v>
      </c>
      <c r="CY169" s="150"/>
      <c r="CZ169" s="150"/>
      <c r="DA169" s="150">
        <f t="shared" si="692"/>
        <v>517</v>
      </c>
      <c r="DB169" s="150">
        <f t="shared" si="693"/>
        <v>2</v>
      </c>
      <c r="DC169" s="150">
        <v>513.20000000000005</v>
      </c>
      <c r="DD169" s="150">
        <v>0.28000000000000003</v>
      </c>
      <c r="DE169" s="150">
        <f t="shared" si="694"/>
        <v>3.7999999999999545</v>
      </c>
      <c r="DF169" s="150">
        <f t="shared" si="695"/>
        <v>1.72</v>
      </c>
      <c r="DG169" s="150">
        <f t="shared" ref="DG169:DH173" si="809">ROUND(0.25*(MIN(CU169,DO169)),2)</f>
        <v>222.5</v>
      </c>
      <c r="DH169" s="150">
        <f t="shared" si="809"/>
        <v>0.5</v>
      </c>
      <c r="DI169" s="150">
        <f>+DG169-DE169+51.3</f>
        <v>270.00000000000006</v>
      </c>
      <c r="DJ169" s="150">
        <f>+DH169-DF169+1.22</f>
        <v>0</v>
      </c>
      <c r="DK169" s="104">
        <f t="shared" si="577"/>
        <v>151.99999999999994</v>
      </c>
      <c r="DL169" s="104">
        <f t="shared" si="578"/>
        <v>0</v>
      </c>
      <c r="DM169" s="104">
        <f t="shared" si="663"/>
        <v>102.99999999999994</v>
      </c>
      <c r="DN169" s="104">
        <f t="shared" si="664"/>
        <v>0</v>
      </c>
      <c r="DO169" s="104">
        <v>939</v>
      </c>
      <c r="DP169" s="104">
        <v>2</v>
      </c>
      <c r="DQ169" s="104">
        <v>890</v>
      </c>
      <c r="DR169" s="104">
        <v>52</v>
      </c>
    </row>
    <row r="170" spans="1:126" ht="18.75">
      <c r="A170" s="18">
        <v>28</v>
      </c>
      <c r="B170" s="18" t="s">
        <v>271</v>
      </c>
      <c r="C170" s="19" t="s">
        <v>272</v>
      </c>
      <c r="D170" s="7" t="s">
        <v>273</v>
      </c>
      <c r="E170" s="21" t="s">
        <v>274</v>
      </c>
      <c r="F170" s="81">
        <v>433.95</v>
      </c>
      <c r="G170" s="81">
        <v>72.27</v>
      </c>
      <c r="H170" s="81">
        <v>433.95</v>
      </c>
      <c r="I170" s="22">
        <v>72.27</v>
      </c>
      <c r="J170" s="88">
        <v>0</v>
      </c>
      <c r="K170" s="88">
        <v>0</v>
      </c>
      <c r="L170" s="88">
        <v>0</v>
      </c>
      <c r="M170" s="88">
        <f>+L170+K170+J170</f>
        <v>0</v>
      </c>
      <c r="N170" s="88">
        <v>500</v>
      </c>
      <c r="O170" s="88">
        <v>50</v>
      </c>
      <c r="P170" s="88">
        <v>0</v>
      </c>
      <c r="Q170" s="88">
        <f>+P170+O170+N170</f>
        <v>550</v>
      </c>
      <c r="R170" s="88">
        <f>+Q170+M170</f>
        <v>550</v>
      </c>
      <c r="S170" s="88">
        <v>0</v>
      </c>
      <c r="V170" s="22">
        <f t="shared" si="805"/>
        <v>459.25</v>
      </c>
      <c r="W170" s="22">
        <f t="shared" si="806"/>
        <v>74.63</v>
      </c>
      <c r="X170" s="22">
        <f t="shared" si="642"/>
        <v>90.75</v>
      </c>
      <c r="Y170" s="22">
        <f t="shared" si="643"/>
        <v>-74.63</v>
      </c>
      <c r="Z170" s="22"/>
      <c r="AA170" s="22">
        <v>504.25</v>
      </c>
      <c r="AB170" s="22">
        <f t="shared" si="644"/>
        <v>504.25</v>
      </c>
      <c r="AC170" s="109">
        <f t="shared" si="645"/>
        <v>0</v>
      </c>
      <c r="AD170" s="22">
        <f>IF(X170&gt;0,V170,R170)+45</f>
        <v>504.25</v>
      </c>
      <c r="AE170" s="119">
        <f>IF(Y170&gt;0,W170,S170)+0.82</f>
        <v>0.82</v>
      </c>
      <c r="AF170" s="22">
        <f t="shared" si="646"/>
        <v>0</v>
      </c>
      <c r="AG170" s="108">
        <f t="shared" si="647"/>
        <v>126</v>
      </c>
      <c r="AH170" s="108">
        <f t="shared" si="648"/>
        <v>0</v>
      </c>
      <c r="AI170" s="127">
        <f t="shared" si="649"/>
        <v>42</v>
      </c>
      <c r="AJ170" s="108">
        <f t="shared" si="650"/>
        <v>0</v>
      </c>
      <c r="AL170" s="143">
        <v>0.82</v>
      </c>
      <c r="AM170" s="108">
        <f t="shared" si="651"/>
        <v>126.06</v>
      </c>
      <c r="AN170" s="108">
        <f>ROUND(AE170*24.35%,2)-0.2</f>
        <v>0</v>
      </c>
      <c r="AQ170" s="108">
        <f t="shared" si="653"/>
        <v>252.06</v>
      </c>
      <c r="AR170" s="108">
        <f t="shared" si="654"/>
        <v>0.82</v>
      </c>
      <c r="AS170" s="151"/>
      <c r="AT170" s="138"/>
      <c r="AU170" s="138">
        <f>ROUND(AD170*25%,2)-79.54</f>
        <v>46.519999999999996</v>
      </c>
      <c r="AV170" s="138">
        <f>ROUND(AE170*25%,2)-0.21</f>
        <v>0</v>
      </c>
      <c r="AW170" s="138"/>
      <c r="AX170" s="148"/>
      <c r="AY170" s="116">
        <f t="shared" si="633"/>
        <v>340.58</v>
      </c>
      <c r="AZ170" s="108">
        <f t="shared" si="634"/>
        <v>0.82</v>
      </c>
      <c r="BA170" s="108">
        <f t="shared" si="635"/>
        <v>341.4</v>
      </c>
      <c r="BB170" s="139">
        <v>334.91</v>
      </c>
      <c r="BC170" s="139">
        <v>0.81</v>
      </c>
      <c r="BD170" s="139">
        <f t="shared" si="636"/>
        <v>5.6699999999999591</v>
      </c>
      <c r="BE170" s="139">
        <f t="shared" si="637"/>
        <v>9.9999999999998979E-3</v>
      </c>
      <c r="BF170" s="139">
        <f t="shared" si="638"/>
        <v>66.98</v>
      </c>
      <c r="BG170" s="139">
        <f t="shared" si="639"/>
        <v>0.16</v>
      </c>
      <c r="BH170" s="143">
        <v>31.96</v>
      </c>
      <c r="BI170" s="108">
        <v>0</v>
      </c>
      <c r="BL170" s="108">
        <f t="shared" si="662"/>
        <v>372.53999999999996</v>
      </c>
      <c r="BM170" s="108">
        <f t="shared" si="679"/>
        <v>0.82</v>
      </c>
      <c r="BN170" s="108">
        <f t="shared" si="680"/>
        <v>373.35999999999996</v>
      </c>
      <c r="BO170" s="108">
        <v>366.98</v>
      </c>
      <c r="BP170" s="127">
        <v>0.81</v>
      </c>
      <c r="BQ170" s="108">
        <f t="shared" si="681"/>
        <v>5.5599999999999454</v>
      </c>
      <c r="BR170" s="108">
        <f t="shared" si="682"/>
        <v>9.9999999999998979E-3</v>
      </c>
      <c r="BS170" s="108">
        <f t="shared" si="683"/>
        <v>33.36</v>
      </c>
      <c r="BT170" s="108">
        <f t="shared" si="684"/>
        <v>7.0000000000000007E-2</v>
      </c>
      <c r="BU170" s="143">
        <v>30.96</v>
      </c>
      <c r="BV170" s="143">
        <v>0</v>
      </c>
      <c r="BW170" s="143"/>
      <c r="BX170" s="143"/>
      <c r="BY170" s="143"/>
      <c r="BZ170" s="143"/>
      <c r="CA170" s="108">
        <v>403.49999999999994</v>
      </c>
      <c r="CB170" s="108">
        <v>0.82</v>
      </c>
      <c r="CC170">
        <v>443.85</v>
      </c>
      <c r="CD170">
        <v>0.94</v>
      </c>
      <c r="CE170" s="189">
        <v>37</v>
      </c>
      <c r="CF170" s="189">
        <v>0</v>
      </c>
      <c r="CG170" s="189">
        <f t="shared" si="685"/>
        <v>100.88</v>
      </c>
      <c r="CH170" s="189">
        <f t="shared" si="686"/>
        <v>0.21</v>
      </c>
      <c r="CI170" s="150"/>
      <c r="CJ170" s="150"/>
      <c r="CK170" s="150">
        <v>100.47</v>
      </c>
      <c r="CL170" s="150">
        <f>18.49-10</f>
        <v>8.4899999999999984</v>
      </c>
      <c r="CM170" s="150"/>
      <c r="CN170" s="150"/>
      <c r="CO170" s="150">
        <v>490</v>
      </c>
      <c r="CP170" s="150">
        <v>8.94</v>
      </c>
      <c r="CQ170" s="150">
        <f t="shared" si="687"/>
        <v>401.88</v>
      </c>
      <c r="CR170" s="150">
        <f t="shared" si="688"/>
        <v>33.96</v>
      </c>
      <c r="CS170" s="150">
        <f t="shared" si="689"/>
        <v>401.88</v>
      </c>
      <c r="CT170" s="150">
        <f t="shared" si="690"/>
        <v>8.94</v>
      </c>
      <c r="CU170" s="150">
        <v>411.9</v>
      </c>
      <c r="CV170" s="150">
        <f>18.49+0.01</f>
        <v>18.5</v>
      </c>
      <c r="CW170" s="150">
        <f t="shared" si="691"/>
        <v>102.98</v>
      </c>
      <c r="CX170" s="150">
        <f>ROUND(CV170*25%,2)-4.62-0.01</f>
        <v>-2.1337098754514727E-16</v>
      </c>
      <c r="CY170" s="150">
        <v>2</v>
      </c>
      <c r="CZ170" s="150">
        <f>10.01</f>
        <v>10.01</v>
      </c>
      <c r="DA170" s="150">
        <f t="shared" si="692"/>
        <v>242.45</v>
      </c>
      <c r="DB170" s="150">
        <f t="shared" si="693"/>
        <v>18.5</v>
      </c>
      <c r="DC170" s="150">
        <v>240.65</v>
      </c>
      <c r="DD170" s="150">
        <v>18.489999999999998</v>
      </c>
      <c r="DE170" s="150">
        <f t="shared" si="694"/>
        <v>1.7999999999999829</v>
      </c>
      <c r="DF170" s="150">
        <f t="shared" si="695"/>
        <v>1.0000000000001563E-2</v>
      </c>
      <c r="DG170" s="150">
        <f t="shared" si="809"/>
        <v>102.98</v>
      </c>
      <c r="DH170" s="150">
        <f t="shared" si="809"/>
        <v>2.12</v>
      </c>
      <c r="DI170" s="150">
        <f>+DG170-DE170</f>
        <v>101.18000000000002</v>
      </c>
      <c r="DJ170" s="150">
        <f>+DH170-DF170-0.11</f>
        <v>1.9999999999999984</v>
      </c>
      <c r="DK170" s="104">
        <f t="shared" si="577"/>
        <v>71.3</v>
      </c>
      <c r="DL170" s="104">
        <f t="shared" si="578"/>
        <v>-12.009999999999998</v>
      </c>
      <c r="DM170" s="104">
        <f t="shared" si="663"/>
        <v>68.269999999999968</v>
      </c>
      <c r="DN170" s="104">
        <f t="shared" si="664"/>
        <v>-1.9999999999999984</v>
      </c>
      <c r="DO170" s="104">
        <v>414.93</v>
      </c>
      <c r="DP170" s="178">
        <v>8.49</v>
      </c>
      <c r="DQ170" s="104">
        <v>500</v>
      </c>
      <c r="DR170" s="104">
        <v>0</v>
      </c>
    </row>
    <row r="171" spans="1:126" ht="18.75">
      <c r="A171" s="43">
        <v>29</v>
      </c>
      <c r="B171" s="43"/>
      <c r="C171" s="44"/>
      <c r="D171" s="55" t="s">
        <v>275</v>
      </c>
      <c r="E171" s="56"/>
      <c r="F171" s="81">
        <v>585.53</v>
      </c>
      <c r="G171" s="81">
        <v>0</v>
      </c>
      <c r="H171" s="81">
        <v>585.53</v>
      </c>
      <c r="I171" s="57">
        <v>0</v>
      </c>
      <c r="J171" s="94">
        <v>0</v>
      </c>
      <c r="K171" s="87">
        <v>0</v>
      </c>
      <c r="L171" s="87">
        <v>0</v>
      </c>
      <c r="M171" s="87">
        <f t="shared" ref="M171:M173" si="810">J171+K171+L171</f>
        <v>0</v>
      </c>
      <c r="N171" s="87">
        <v>600</v>
      </c>
      <c r="O171" s="87">
        <v>0</v>
      </c>
      <c r="P171" s="87">
        <v>0</v>
      </c>
      <c r="Q171" s="87">
        <f t="shared" ref="Q171:Q173" si="811">N171+O171+P171</f>
        <v>600</v>
      </c>
      <c r="R171" s="87">
        <f t="shared" ref="R171:R173" si="812">+Q171+M171</f>
        <v>600</v>
      </c>
      <c r="S171" s="87">
        <v>0</v>
      </c>
      <c r="V171" s="57">
        <f t="shared" ref="V171" si="813">ROUND(H171*1.0583,2)</f>
        <v>619.66999999999996</v>
      </c>
      <c r="W171" s="17">
        <f t="shared" ref="W171" si="814">ROUND(I171*1.0327,2)</f>
        <v>0</v>
      </c>
      <c r="X171" s="108">
        <f t="shared" si="642"/>
        <v>-19.669999999999959</v>
      </c>
      <c r="Y171" s="108">
        <f t="shared" si="643"/>
        <v>0</v>
      </c>
      <c r="Z171" s="108"/>
      <c r="AA171" s="108">
        <v>600</v>
      </c>
      <c r="AB171" s="108">
        <f t="shared" si="644"/>
        <v>600</v>
      </c>
      <c r="AC171" s="109">
        <f t="shared" si="645"/>
        <v>0</v>
      </c>
      <c r="AD171" s="108">
        <f t="shared" si="807"/>
        <v>600</v>
      </c>
      <c r="AE171" s="108">
        <f t="shared" si="808"/>
        <v>0</v>
      </c>
      <c r="AF171" s="108">
        <f t="shared" si="646"/>
        <v>0</v>
      </c>
      <c r="AG171" s="108">
        <f t="shared" si="647"/>
        <v>150</v>
      </c>
      <c r="AH171" s="108">
        <f t="shared" si="648"/>
        <v>0</v>
      </c>
      <c r="AI171" s="127">
        <f t="shared" si="649"/>
        <v>50</v>
      </c>
      <c r="AJ171" s="108">
        <f t="shared" si="650"/>
        <v>0</v>
      </c>
      <c r="AM171" s="108">
        <f t="shared" si="651"/>
        <v>150</v>
      </c>
      <c r="AN171" s="108">
        <f t="shared" si="652"/>
        <v>0</v>
      </c>
      <c r="AQ171" s="108">
        <f t="shared" si="653"/>
        <v>300</v>
      </c>
      <c r="AR171" s="108">
        <f t="shared" si="654"/>
        <v>0</v>
      </c>
      <c r="AU171" s="108">
        <f t="shared" si="749"/>
        <v>150</v>
      </c>
      <c r="AV171" s="108">
        <f>ROUND(AE171*25%,2)</f>
        <v>0</v>
      </c>
      <c r="AY171" s="108">
        <f t="shared" si="633"/>
        <v>500</v>
      </c>
      <c r="AZ171" s="108">
        <f t="shared" si="634"/>
        <v>0</v>
      </c>
      <c r="BA171" s="108">
        <f t="shared" si="635"/>
        <v>500</v>
      </c>
      <c r="BB171" s="139">
        <v>552</v>
      </c>
      <c r="BD171" s="139">
        <f t="shared" si="636"/>
        <v>-52</v>
      </c>
      <c r="BE171" s="139">
        <f t="shared" si="637"/>
        <v>0</v>
      </c>
      <c r="BF171" s="139">
        <f t="shared" si="638"/>
        <v>110.4</v>
      </c>
      <c r="BG171" s="139">
        <f t="shared" si="639"/>
        <v>0</v>
      </c>
      <c r="BH171" s="108">
        <v>62.09</v>
      </c>
      <c r="BI171" s="108">
        <v>0</v>
      </c>
      <c r="BL171" s="108">
        <f t="shared" si="662"/>
        <v>562.09</v>
      </c>
      <c r="BM171" s="108">
        <f t="shared" si="679"/>
        <v>0</v>
      </c>
      <c r="BN171" s="108">
        <f t="shared" si="680"/>
        <v>562.09</v>
      </c>
      <c r="BO171" s="108">
        <v>552.11</v>
      </c>
      <c r="BP171" s="127"/>
      <c r="BQ171" s="108">
        <f t="shared" si="681"/>
        <v>9.9800000000000182</v>
      </c>
      <c r="BR171" s="108">
        <f t="shared" si="682"/>
        <v>0</v>
      </c>
      <c r="BS171" s="108">
        <f t="shared" si="683"/>
        <v>50.19</v>
      </c>
      <c r="BT171" s="108">
        <f t="shared" si="684"/>
        <v>0</v>
      </c>
      <c r="BU171" s="108">
        <f t="shared" ref="BU171:BU172" si="815">ROUND(BS171-BQ171,2)</f>
        <v>40.21</v>
      </c>
      <c r="BV171" s="108">
        <v>0</v>
      </c>
      <c r="BW171" s="109">
        <v>57</v>
      </c>
      <c r="CA171" s="108">
        <v>659.30000000000007</v>
      </c>
      <c r="CB171" s="108">
        <v>0</v>
      </c>
      <c r="CC171">
        <v>725.23</v>
      </c>
      <c r="CD171">
        <v>0</v>
      </c>
      <c r="CE171" s="189">
        <v>60</v>
      </c>
      <c r="CF171" s="189">
        <v>0</v>
      </c>
      <c r="CG171" s="189">
        <f t="shared" si="685"/>
        <v>164.83</v>
      </c>
      <c r="CH171" s="189">
        <f t="shared" si="686"/>
        <v>0</v>
      </c>
      <c r="CI171" s="150"/>
      <c r="CJ171" s="150"/>
      <c r="CK171" s="150">
        <v>231</v>
      </c>
      <c r="CL171" s="150">
        <v>30</v>
      </c>
      <c r="CM171" s="150"/>
      <c r="CN171" s="150"/>
      <c r="CO171" s="150">
        <v>650</v>
      </c>
      <c r="CP171" s="150"/>
      <c r="CQ171" s="150">
        <f t="shared" si="687"/>
        <v>924</v>
      </c>
      <c r="CR171" s="150">
        <f t="shared" si="688"/>
        <v>120</v>
      </c>
      <c r="CS171" s="150">
        <f t="shared" si="689"/>
        <v>650</v>
      </c>
      <c r="CT171" s="150">
        <f>IF(CP171&lt;CR171,CP171,CR171)+30</f>
        <v>30</v>
      </c>
      <c r="CU171" s="150">
        <f t="shared" ref="CU171:CU173" si="816">IF(CQ171&lt;CS171,CQ171,CS171)</f>
        <v>650</v>
      </c>
      <c r="CV171" s="150">
        <f>IF(CR171&lt;CT171,CR171,CT171)+30</f>
        <v>60</v>
      </c>
      <c r="CW171" s="150">
        <f t="shared" si="691"/>
        <v>162.5</v>
      </c>
      <c r="CX171" s="150">
        <f>ROUND(CV171*25%,2)-10-5</f>
        <v>0</v>
      </c>
      <c r="CY171" s="150"/>
      <c r="CZ171" s="150"/>
      <c r="DA171" s="150">
        <f t="shared" si="692"/>
        <v>453.5</v>
      </c>
      <c r="DB171" s="150">
        <f t="shared" si="693"/>
        <v>30</v>
      </c>
      <c r="DC171" s="150">
        <v>475.5</v>
      </c>
      <c r="DD171" s="150">
        <v>29.75</v>
      </c>
      <c r="DE171" s="150">
        <f t="shared" si="694"/>
        <v>-22</v>
      </c>
      <c r="DF171" s="150">
        <f t="shared" si="695"/>
        <v>0.25</v>
      </c>
      <c r="DG171" s="150">
        <f t="shared" si="809"/>
        <v>162.5</v>
      </c>
      <c r="DH171" s="150">
        <f t="shared" si="809"/>
        <v>8.5</v>
      </c>
      <c r="DI171" s="150">
        <f>+DG171-DE171</f>
        <v>184.5</v>
      </c>
      <c r="DJ171" s="150">
        <f>+DH171-DF171-4.25-4</f>
        <v>0</v>
      </c>
      <c r="DK171" s="104">
        <f t="shared" si="577"/>
        <v>172</v>
      </c>
      <c r="DL171" s="104">
        <f t="shared" si="578"/>
        <v>4</v>
      </c>
      <c r="DM171" s="104">
        <f t="shared" si="663"/>
        <v>12</v>
      </c>
      <c r="DN171" s="104">
        <f t="shared" si="664"/>
        <v>30</v>
      </c>
      <c r="DO171" s="178">
        <v>810</v>
      </c>
      <c r="DP171" s="178">
        <v>34</v>
      </c>
      <c r="DQ171" s="104">
        <v>1000</v>
      </c>
      <c r="DR171" s="104">
        <v>0</v>
      </c>
    </row>
    <row r="172" spans="1:126" ht="18.75">
      <c r="A172" s="13">
        <v>30</v>
      </c>
      <c r="B172" s="13"/>
      <c r="C172" s="14"/>
      <c r="D172" s="15" t="s">
        <v>276</v>
      </c>
      <c r="E172" s="16"/>
      <c r="F172" s="81">
        <v>120.75</v>
      </c>
      <c r="G172" s="81">
        <v>0</v>
      </c>
      <c r="H172" s="81">
        <v>120.75</v>
      </c>
      <c r="I172" s="17">
        <v>0</v>
      </c>
      <c r="J172" s="86">
        <v>106</v>
      </c>
      <c r="K172" s="87">
        <v>0</v>
      </c>
      <c r="L172" s="87">
        <v>0</v>
      </c>
      <c r="M172" s="87">
        <f t="shared" si="810"/>
        <v>106</v>
      </c>
      <c r="N172" s="87">
        <v>35</v>
      </c>
      <c r="O172" s="87">
        <v>0</v>
      </c>
      <c r="P172" s="87">
        <v>0</v>
      </c>
      <c r="Q172" s="87">
        <f t="shared" si="811"/>
        <v>35</v>
      </c>
      <c r="R172" s="87">
        <f t="shared" si="812"/>
        <v>141</v>
      </c>
      <c r="S172" s="87">
        <v>0</v>
      </c>
      <c r="V172" s="57">
        <f t="shared" ref="V172:V173" si="817">ROUND(H172*1.0583,2)</f>
        <v>127.79</v>
      </c>
      <c r="W172" s="17">
        <f t="shared" ref="W172:W173" si="818">ROUND(I172*1.0327,2)</f>
        <v>0</v>
      </c>
      <c r="X172" s="108">
        <f t="shared" si="642"/>
        <v>13.209999999999994</v>
      </c>
      <c r="Y172" s="108">
        <f t="shared" si="643"/>
        <v>0</v>
      </c>
      <c r="Z172" s="108">
        <v>97.79</v>
      </c>
      <c r="AA172" s="108">
        <v>30</v>
      </c>
      <c r="AB172" s="108">
        <f t="shared" si="644"/>
        <v>127.79</v>
      </c>
      <c r="AC172" s="109">
        <f t="shared" si="645"/>
        <v>0</v>
      </c>
      <c r="AD172" s="108">
        <f t="shared" ref="AD172:AD173" si="819">IF(X172&gt;0,V172,R172)</f>
        <v>127.79</v>
      </c>
      <c r="AE172" s="108">
        <f t="shared" ref="AE172:AE173" si="820">IF(Y172&gt;0,W172,S172)</f>
        <v>0</v>
      </c>
      <c r="AF172" s="108">
        <f t="shared" si="646"/>
        <v>0</v>
      </c>
      <c r="AG172" s="108">
        <f t="shared" si="647"/>
        <v>32</v>
      </c>
      <c r="AH172" s="108">
        <f t="shared" si="648"/>
        <v>0</v>
      </c>
      <c r="AI172" s="127">
        <f t="shared" si="649"/>
        <v>11</v>
      </c>
      <c r="AJ172" s="108">
        <f t="shared" si="650"/>
        <v>0</v>
      </c>
      <c r="AM172" s="108">
        <f t="shared" si="651"/>
        <v>31.95</v>
      </c>
      <c r="AN172" s="108">
        <f t="shared" si="652"/>
        <v>0</v>
      </c>
      <c r="AQ172" s="108">
        <f t="shared" si="653"/>
        <v>63.95</v>
      </c>
      <c r="AR172" s="108">
        <f t="shared" si="654"/>
        <v>0</v>
      </c>
      <c r="AU172" s="108">
        <f t="shared" si="749"/>
        <v>31.95</v>
      </c>
      <c r="AV172" s="108">
        <f t="shared" ref="AV172:AV183" si="821">ROUND(AE172*25%,2)</f>
        <v>0</v>
      </c>
      <c r="AY172" s="108">
        <f t="shared" si="633"/>
        <v>106.9</v>
      </c>
      <c r="AZ172" s="108">
        <f t="shared" si="634"/>
        <v>0</v>
      </c>
      <c r="BA172" s="108">
        <f t="shared" si="635"/>
        <v>106.9</v>
      </c>
      <c r="BB172" s="139">
        <v>89.5</v>
      </c>
      <c r="BD172" s="139">
        <f t="shared" si="636"/>
        <v>17.400000000000006</v>
      </c>
      <c r="BE172" s="139">
        <f t="shared" si="637"/>
        <v>0</v>
      </c>
      <c r="BF172" s="139">
        <f t="shared" si="638"/>
        <v>17.899999999999999</v>
      </c>
      <c r="BG172" s="139">
        <f t="shared" si="639"/>
        <v>0</v>
      </c>
      <c r="BH172" s="108">
        <v>0.25</v>
      </c>
      <c r="BI172" s="108">
        <v>0</v>
      </c>
      <c r="BL172" s="108">
        <f t="shared" si="662"/>
        <v>107.15</v>
      </c>
      <c r="BM172" s="108">
        <f t="shared" si="679"/>
        <v>0</v>
      </c>
      <c r="BN172" s="108">
        <f t="shared" si="680"/>
        <v>107.15</v>
      </c>
      <c r="BO172" s="108">
        <v>93.78</v>
      </c>
      <c r="BP172" s="127"/>
      <c r="BQ172" s="108">
        <f t="shared" si="681"/>
        <v>13.370000000000005</v>
      </c>
      <c r="BR172" s="108">
        <f t="shared" si="682"/>
        <v>0</v>
      </c>
      <c r="BS172" s="108">
        <f t="shared" si="683"/>
        <v>8.5299999999999994</v>
      </c>
      <c r="BT172" s="108">
        <f t="shared" si="684"/>
        <v>0</v>
      </c>
      <c r="BU172" s="108">
        <f t="shared" si="815"/>
        <v>-4.84</v>
      </c>
      <c r="BV172" s="108">
        <v>0</v>
      </c>
      <c r="CA172" s="108">
        <v>102.31</v>
      </c>
      <c r="CB172" s="108">
        <v>0</v>
      </c>
      <c r="CC172">
        <v>112.54</v>
      </c>
      <c r="CD172">
        <v>0</v>
      </c>
      <c r="CE172" s="189">
        <v>9</v>
      </c>
      <c r="CF172" s="189">
        <v>0</v>
      </c>
      <c r="CG172" s="189">
        <f t="shared" si="685"/>
        <v>25.58</v>
      </c>
      <c r="CH172" s="189">
        <f t="shared" si="686"/>
        <v>0</v>
      </c>
      <c r="CI172" s="150"/>
      <c r="CJ172" s="150"/>
      <c r="CK172" s="150">
        <v>30</v>
      </c>
      <c r="CL172" s="150">
        <v>0</v>
      </c>
      <c r="CM172" s="150"/>
      <c r="CN172" s="150"/>
      <c r="CO172" s="150">
        <v>115</v>
      </c>
      <c r="CP172" s="150"/>
      <c r="CQ172" s="150">
        <f t="shared" si="687"/>
        <v>120</v>
      </c>
      <c r="CR172" s="150">
        <f t="shared" si="688"/>
        <v>0</v>
      </c>
      <c r="CS172" s="150">
        <f t="shared" si="689"/>
        <v>115</v>
      </c>
      <c r="CT172" s="150">
        <f t="shared" si="690"/>
        <v>0</v>
      </c>
      <c r="CU172" s="150">
        <f t="shared" si="816"/>
        <v>115</v>
      </c>
      <c r="CV172" s="150">
        <f t="shared" ref="CV172:CV173" si="822">IF(CR172&lt;CT172,CR172,CT172)</f>
        <v>0</v>
      </c>
      <c r="CW172" s="150">
        <f t="shared" si="691"/>
        <v>28.75</v>
      </c>
      <c r="CX172" s="150">
        <f t="shared" si="575"/>
        <v>0</v>
      </c>
      <c r="CY172" s="150"/>
      <c r="CZ172" s="150"/>
      <c r="DA172" s="150">
        <f t="shared" si="692"/>
        <v>67.75</v>
      </c>
      <c r="DB172" s="150">
        <f t="shared" si="693"/>
        <v>0</v>
      </c>
      <c r="DC172" s="150">
        <v>68.599999999999994</v>
      </c>
      <c r="DD172" s="150">
        <v>0</v>
      </c>
      <c r="DE172" s="150">
        <f t="shared" si="694"/>
        <v>-0.84999999999999432</v>
      </c>
      <c r="DF172" s="150">
        <f t="shared" si="695"/>
        <v>0</v>
      </c>
      <c r="DG172" s="150">
        <f t="shared" si="809"/>
        <v>28.75</v>
      </c>
      <c r="DH172" s="150">
        <f t="shared" si="809"/>
        <v>0</v>
      </c>
      <c r="DI172" s="150">
        <f>+DG172-DE172</f>
        <v>29.599999999999994</v>
      </c>
      <c r="DJ172" s="150">
        <f>+DH172-DF172</f>
        <v>0</v>
      </c>
      <c r="DK172" s="104">
        <f t="shared" si="577"/>
        <v>17.650000000000006</v>
      </c>
      <c r="DL172" s="104">
        <f t="shared" si="578"/>
        <v>0</v>
      </c>
      <c r="DM172" s="104">
        <f t="shared" si="663"/>
        <v>17.650000000000006</v>
      </c>
      <c r="DN172" s="104">
        <f t="shared" si="664"/>
        <v>0</v>
      </c>
      <c r="DO172" s="178">
        <f>28.75+86.25</f>
        <v>115</v>
      </c>
      <c r="DQ172" s="178">
        <f>28.75+86.25</f>
        <v>115</v>
      </c>
    </row>
    <row r="173" spans="1:126" ht="18.75">
      <c r="A173" s="13">
        <v>31</v>
      </c>
      <c r="B173" s="13"/>
      <c r="C173" s="14"/>
      <c r="D173" s="15" t="s">
        <v>277</v>
      </c>
      <c r="E173" s="16"/>
      <c r="F173" s="81">
        <v>0</v>
      </c>
      <c r="G173" s="81">
        <v>0</v>
      </c>
      <c r="H173" s="81">
        <v>0</v>
      </c>
      <c r="I173" s="17">
        <v>0</v>
      </c>
      <c r="J173" s="86">
        <v>0</v>
      </c>
      <c r="K173" s="87">
        <v>0</v>
      </c>
      <c r="L173" s="87">
        <v>0</v>
      </c>
      <c r="M173" s="87">
        <f t="shared" si="810"/>
        <v>0</v>
      </c>
      <c r="N173" s="87">
        <v>0</v>
      </c>
      <c r="O173" s="87">
        <v>0</v>
      </c>
      <c r="P173" s="87"/>
      <c r="Q173" s="87">
        <f t="shared" si="811"/>
        <v>0</v>
      </c>
      <c r="R173" s="87">
        <f t="shared" si="812"/>
        <v>0</v>
      </c>
      <c r="S173" s="87">
        <v>0</v>
      </c>
      <c r="V173" s="57">
        <f t="shared" si="817"/>
        <v>0</v>
      </c>
      <c r="W173" s="17">
        <f t="shared" si="818"/>
        <v>0</v>
      </c>
      <c r="X173" s="108">
        <f t="shared" si="642"/>
        <v>0</v>
      </c>
      <c r="Y173" s="108">
        <f t="shared" si="643"/>
        <v>0</v>
      </c>
      <c r="Z173" s="108">
        <v>0</v>
      </c>
      <c r="AA173" s="108"/>
      <c r="AB173" s="108">
        <f t="shared" si="644"/>
        <v>0</v>
      </c>
      <c r="AC173" s="109">
        <f t="shared" si="645"/>
        <v>0</v>
      </c>
      <c r="AD173" s="108">
        <f t="shared" si="819"/>
        <v>0</v>
      </c>
      <c r="AE173" s="108">
        <f t="shared" si="820"/>
        <v>0</v>
      </c>
      <c r="AF173" s="108">
        <f t="shared" si="646"/>
        <v>0</v>
      </c>
      <c r="AG173" s="108">
        <f t="shared" si="647"/>
        <v>0</v>
      </c>
      <c r="AH173" s="108">
        <f t="shared" si="648"/>
        <v>0</v>
      </c>
      <c r="AI173" s="127">
        <f t="shared" si="649"/>
        <v>0</v>
      </c>
      <c r="AJ173" s="108">
        <f t="shared" si="650"/>
        <v>0</v>
      </c>
      <c r="AM173" s="108">
        <f t="shared" si="651"/>
        <v>0</v>
      </c>
      <c r="AN173" s="108">
        <f t="shared" si="652"/>
        <v>0</v>
      </c>
      <c r="AQ173" s="108">
        <f t="shared" si="653"/>
        <v>0</v>
      </c>
      <c r="AR173" s="108">
        <f t="shared" si="654"/>
        <v>0</v>
      </c>
      <c r="AU173" s="108">
        <f t="shared" si="749"/>
        <v>0</v>
      </c>
      <c r="AV173" s="108">
        <f t="shared" si="821"/>
        <v>0</v>
      </c>
      <c r="AY173" s="108">
        <f t="shared" si="633"/>
        <v>0</v>
      </c>
      <c r="AZ173" s="108">
        <f t="shared" si="634"/>
        <v>0</v>
      </c>
      <c r="BA173" s="108">
        <f t="shared" si="635"/>
        <v>0</v>
      </c>
      <c r="BB173" s="139">
        <v>0</v>
      </c>
      <c r="BD173" s="139">
        <f t="shared" si="636"/>
        <v>0</v>
      </c>
      <c r="BE173" s="139">
        <f t="shared" si="637"/>
        <v>0</v>
      </c>
      <c r="BF173" s="139">
        <f t="shared" si="638"/>
        <v>0</v>
      </c>
      <c r="BG173" s="139">
        <f t="shared" si="639"/>
        <v>0</v>
      </c>
      <c r="BH173" s="108">
        <v>0</v>
      </c>
      <c r="BI173" s="108">
        <v>0</v>
      </c>
      <c r="BL173" s="108">
        <f t="shared" si="662"/>
        <v>0</v>
      </c>
      <c r="BM173" s="108">
        <f t="shared" si="679"/>
        <v>0</v>
      </c>
      <c r="BN173" s="108">
        <f t="shared" si="680"/>
        <v>0</v>
      </c>
      <c r="BO173" s="108">
        <v>0</v>
      </c>
      <c r="BP173" s="127"/>
      <c r="BQ173" s="108">
        <f t="shared" si="681"/>
        <v>0</v>
      </c>
      <c r="BR173" s="108">
        <f t="shared" si="682"/>
        <v>0</v>
      </c>
      <c r="BS173" s="108">
        <f t="shared" si="683"/>
        <v>0</v>
      </c>
      <c r="BT173" s="108">
        <f t="shared" si="684"/>
        <v>0</v>
      </c>
      <c r="BU173" s="108">
        <f>ROUND(BS173-BQ173,2)</f>
        <v>0</v>
      </c>
      <c r="BV173" s="108">
        <v>0</v>
      </c>
      <c r="CA173" s="108">
        <v>0</v>
      </c>
      <c r="CB173" s="108">
        <v>0</v>
      </c>
      <c r="CC173">
        <v>0</v>
      </c>
      <c r="CD173">
        <v>0</v>
      </c>
      <c r="CE173" s="189">
        <v>0</v>
      </c>
      <c r="CF173" s="189">
        <v>0</v>
      </c>
      <c r="CG173" s="189">
        <f t="shared" si="685"/>
        <v>0</v>
      </c>
      <c r="CH173" s="189">
        <f t="shared" si="686"/>
        <v>0</v>
      </c>
      <c r="CI173" s="150"/>
      <c r="CJ173" s="150"/>
      <c r="CK173" s="150">
        <v>0</v>
      </c>
      <c r="CL173" s="150">
        <v>0</v>
      </c>
      <c r="CM173" s="150"/>
      <c r="CN173" s="150"/>
      <c r="CO173" s="150"/>
      <c r="CP173" s="150"/>
      <c r="CQ173" s="150">
        <f t="shared" si="687"/>
        <v>0</v>
      </c>
      <c r="CR173" s="150">
        <f t="shared" si="688"/>
        <v>0</v>
      </c>
      <c r="CS173" s="150">
        <f t="shared" si="689"/>
        <v>0</v>
      </c>
      <c r="CT173" s="150">
        <f t="shared" si="690"/>
        <v>0</v>
      </c>
      <c r="CU173" s="150">
        <f t="shared" si="816"/>
        <v>0</v>
      </c>
      <c r="CV173" s="150">
        <f t="shared" si="822"/>
        <v>0</v>
      </c>
      <c r="CW173" s="150">
        <f t="shared" si="691"/>
        <v>0</v>
      </c>
      <c r="CX173" s="150">
        <f t="shared" si="575"/>
        <v>0</v>
      </c>
      <c r="CY173" s="150"/>
      <c r="CZ173" s="150"/>
      <c r="DA173" s="150">
        <f t="shared" si="692"/>
        <v>0</v>
      </c>
      <c r="DB173" s="150">
        <f t="shared" si="693"/>
        <v>0</v>
      </c>
      <c r="DC173" s="150">
        <v>0</v>
      </c>
      <c r="DD173" s="150">
        <v>0</v>
      </c>
      <c r="DE173" s="150">
        <f t="shared" si="694"/>
        <v>0</v>
      </c>
      <c r="DF173" s="150">
        <f t="shared" si="695"/>
        <v>0</v>
      </c>
      <c r="DG173" s="150">
        <f t="shared" si="809"/>
        <v>0</v>
      </c>
      <c r="DH173" s="150">
        <f t="shared" si="809"/>
        <v>0</v>
      </c>
      <c r="DI173" s="150">
        <f>+DG173-DE173</f>
        <v>0</v>
      </c>
      <c r="DJ173" s="150">
        <f>+DH173-DF173</f>
        <v>0</v>
      </c>
      <c r="DK173" s="104">
        <f t="shared" si="577"/>
        <v>0</v>
      </c>
      <c r="DL173" s="104">
        <f t="shared" si="578"/>
        <v>0</v>
      </c>
      <c r="DM173" s="104">
        <f t="shared" si="663"/>
        <v>0</v>
      </c>
      <c r="DN173" s="104">
        <f t="shared" si="664"/>
        <v>0</v>
      </c>
    </row>
    <row r="174" spans="1:126" ht="18.75">
      <c r="A174" s="18"/>
      <c r="B174" s="18" t="s">
        <v>278</v>
      </c>
      <c r="C174" s="19" t="s">
        <v>279</v>
      </c>
      <c r="D174" s="20" t="s">
        <v>275</v>
      </c>
      <c r="E174" s="21" t="s">
        <v>280</v>
      </c>
      <c r="F174" s="22">
        <v>706.28</v>
      </c>
      <c r="G174" s="22">
        <v>0</v>
      </c>
      <c r="H174" s="22">
        <v>706.28</v>
      </c>
      <c r="I174" s="22">
        <v>0</v>
      </c>
      <c r="J174" s="88">
        <f t="shared" ref="J174:AA174" si="823">+J171+J172+J173</f>
        <v>106</v>
      </c>
      <c r="K174" s="88">
        <f t="shared" si="823"/>
        <v>0</v>
      </c>
      <c r="L174" s="88">
        <f t="shared" si="823"/>
        <v>0</v>
      </c>
      <c r="M174" s="88">
        <f t="shared" si="823"/>
        <v>106</v>
      </c>
      <c r="N174" s="88">
        <f t="shared" si="823"/>
        <v>635</v>
      </c>
      <c r="O174" s="88">
        <f t="shared" si="823"/>
        <v>0</v>
      </c>
      <c r="P174" s="88">
        <f t="shared" si="823"/>
        <v>0</v>
      </c>
      <c r="Q174" s="88">
        <f t="shared" si="823"/>
        <v>635</v>
      </c>
      <c r="R174" s="88">
        <f t="shared" si="823"/>
        <v>741</v>
      </c>
      <c r="S174" s="88">
        <f t="shared" si="823"/>
        <v>0</v>
      </c>
      <c r="T174" s="88">
        <f t="shared" si="823"/>
        <v>0</v>
      </c>
      <c r="U174" s="88">
        <f t="shared" si="823"/>
        <v>0</v>
      </c>
      <c r="V174" s="88">
        <f t="shared" si="823"/>
        <v>747.45999999999992</v>
      </c>
      <c r="W174" s="88">
        <f t="shared" si="823"/>
        <v>0</v>
      </c>
      <c r="X174" s="88">
        <f t="shared" si="823"/>
        <v>-6.4599999999999653</v>
      </c>
      <c r="Y174" s="88">
        <f t="shared" si="823"/>
        <v>0</v>
      </c>
      <c r="Z174" s="88">
        <f t="shared" si="823"/>
        <v>97.79</v>
      </c>
      <c r="AA174" s="88">
        <f t="shared" si="823"/>
        <v>630</v>
      </c>
      <c r="AB174" s="22">
        <f t="shared" si="644"/>
        <v>727.79</v>
      </c>
      <c r="AC174" s="109">
        <f t="shared" si="645"/>
        <v>0</v>
      </c>
      <c r="AD174" s="22">
        <f t="shared" ref="AD174:CO174" si="824">+AD171+AD172+AD173</f>
        <v>727.79</v>
      </c>
      <c r="AE174" s="22">
        <f t="shared" si="824"/>
        <v>0</v>
      </c>
      <c r="AF174" s="22">
        <f t="shared" si="824"/>
        <v>0</v>
      </c>
      <c r="AG174" s="22">
        <f t="shared" si="824"/>
        <v>182</v>
      </c>
      <c r="AH174" s="22">
        <f t="shared" si="824"/>
        <v>0</v>
      </c>
      <c r="AI174" s="118">
        <f t="shared" si="824"/>
        <v>61</v>
      </c>
      <c r="AJ174" s="22">
        <f t="shared" si="824"/>
        <v>0</v>
      </c>
      <c r="AK174" s="22">
        <f t="shared" si="824"/>
        <v>0</v>
      </c>
      <c r="AL174" s="22">
        <f t="shared" si="824"/>
        <v>0</v>
      </c>
      <c r="AM174" s="22">
        <f t="shared" si="824"/>
        <v>181.95</v>
      </c>
      <c r="AN174" s="22">
        <f t="shared" si="824"/>
        <v>0</v>
      </c>
      <c r="AO174" s="22">
        <f t="shared" si="824"/>
        <v>0</v>
      </c>
      <c r="AP174" s="22">
        <f t="shared" si="824"/>
        <v>0</v>
      </c>
      <c r="AQ174" s="22">
        <f t="shared" si="824"/>
        <v>363.95</v>
      </c>
      <c r="AR174" s="22">
        <f t="shared" si="824"/>
        <v>0</v>
      </c>
      <c r="AS174" s="22">
        <f t="shared" si="824"/>
        <v>0</v>
      </c>
      <c r="AT174" s="22">
        <f t="shared" si="824"/>
        <v>0</v>
      </c>
      <c r="AU174" s="22">
        <f t="shared" si="824"/>
        <v>181.95</v>
      </c>
      <c r="AV174" s="22">
        <f t="shared" si="824"/>
        <v>0</v>
      </c>
      <c r="AW174" s="22">
        <f t="shared" si="824"/>
        <v>0</v>
      </c>
      <c r="AX174" s="22">
        <f t="shared" si="824"/>
        <v>0</v>
      </c>
      <c r="AY174" s="22">
        <f t="shared" si="824"/>
        <v>606.9</v>
      </c>
      <c r="AZ174" s="22">
        <f t="shared" si="824"/>
        <v>0</v>
      </c>
      <c r="BA174" s="22">
        <f t="shared" si="824"/>
        <v>606.9</v>
      </c>
      <c r="BB174" s="22">
        <f t="shared" si="824"/>
        <v>641.5</v>
      </c>
      <c r="BC174" s="22">
        <f t="shared" si="824"/>
        <v>0</v>
      </c>
      <c r="BD174" s="22">
        <f t="shared" si="824"/>
        <v>-34.599999999999994</v>
      </c>
      <c r="BE174" s="22">
        <f t="shared" si="824"/>
        <v>0</v>
      </c>
      <c r="BF174" s="22">
        <f t="shared" si="824"/>
        <v>128.30000000000001</v>
      </c>
      <c r="BG174" s="118">
        <f t="shared" si="824"/>
        <v>0</v>
      </c>
      <c r="BH174" s="118">
        <f t="shared" si="824"/>
        <v>62.34</v>
      </c>
      <c r="BI174" s="118">
        <f t="shared" si="824"/>
        <v>0</v>
      </c>
      <c r="BJ174" s="118">
        <f t="shared" si="824"/>
        <v>0</v>
      </c>
      <c r="BK174" s="118">
        <f t="shared" si="824"/>
        <v>0</v>
      </c>
      <c r="BL174" s="118">
        <f t="shared" si="824"/>
        <v>669.24</v>
      </c>
      <c r="BM174" s="118">
        <f t="shared" si="824"/>
        <v>0</v>
      </c>
      <c r="BN174" s="118">
        <f t="shared" si="824"/>
        <v>669.24</v>
      </c>
      <c r="BO174" s="118">
        <f t="shared" si="824"/>
        <v>645.89</v>
      </c>
      <c r="BP174" s="118">
        <f t="shared" si="824"/>
        <v>0</v>
      </c>
      <c r="BQ174" s="22">
        <f t="shared" si="824"/>
        <v>23.350000000000023</v>
      </c>
      <c r="BR174" s="22">
        <f t="shared" si="824"/>
        <v>0</v>
      </c>
      <c r="BS174" s="22">
        <f t="shared" si="824"/>
        <v>58.72</v>
      </c>
      <c r="BT174" s="22">
        <f t="shared" si="824"/>
        <v>0</v>
      </c>
      <c r="BU174" s="22">
        <f t="shared" si="824"/>
        <v>35.370000000000005</v>
      </c>
      <c r="BV174" s="22">
        <f t="shared" si="824"/>
        <v>0</v>
      </c>
      <c r="BW174" s="22">
        <f t="shared" si="824"/>
        <v>57</v>
      </c>
      <c r="BX174" s="22">
        <f t="shared" si="824"/>
        <v>0</v>
      </c>
      <c r="BY174" s="22">
        <f t="shared" si="824"/>
        <v>0</v>
      </c>
      <c r="BZ174" s="22">
        <f t="shared" si="824"/>
        <v>0</v>
      </c>
      <c r="CA174" s="22">
        <f t="shared" si="824"/>
        <v>761.61000000000013</v>
      </c>
      <c r="CB174" s="22">
        <f t="shared" si="824"/>
        <v>0</v>
      </c>
      <c r="CC174" s="22">
        <f t="shared" si="824"/>
        <v>837.77</v>
      </c>
      <c r="CD174" s="118">
        <f t="shared" si="824"/>
        <v>0</v>
      </c>
      <c r="CE174" s="190">
        <f t="shared" si="824"/>
        <v>69</v>
      </c>
      <c r="CF174" s="190">
        <f t="shared" si="824"/>
        <v>0</v>
      </c>
      <c r="CG174" s="190">
        <f t="shared" si="824"/>
        <v>190.41000000000003</v>
      </c>
      <c r="CH174" s="190">
        <f t="shared" si="824"/>
        <v>0</v>
      </c>
      <c r="CI174" s="190">
        <f t="shared" si="824"/>
        <v>0</v>
      </c>
      <c r="CJ174" s="190">
        <f t="shared" si="824"/>
        <v>0</v>
      </c>
      <c r="CK174" s="190">
        <f t="shared" si="824"/>
        <v>261</v>
      </c>
      <c r="CL174" s="190">
        <f t="shared" si="824"/>
        <v>30</v>
      </c>
      <c r="CM174" s="190">
        <f t="shared" si="824"/>
        <v>0</v>
      </c>
      <c r="CN174" s="190">
        <f t="shared" si="824"/>
        <v>0</v>
      </c>
      <c r="CO174" s="190">
        <f t="shared" si="824"/>
        <v>765</v>
      </c>
      <c r="CP174" s="190">
        <f t="shared" ref="CP174:DV174" si="825">+CP171+CP172+CP173</f>
        <v>0</v>
      </c>
      <c r="CQ174" s="190">
        <f t="shared" si="825"/>
        <v>1044</v>
      </c>
      <c r="CR174" s="190">
        <f t="shared" si="825"/>
        <v>120</v>
      </c>
      <c r="CS174" s="190">
        <f t="shared" si="825"/>
        <v>765</v>
      </c>
      <c r="CT174" s="190">
        <f t="shared" si="825"/>
        <v>30</v>
      </c>
      <c r="CU174" s="190">
        <f t="shared" si="825"/>
        <v>765</v>
      </c>
      <c r="CV174" s="190">
        <f t="shared" si="825"/>
        <v>60</v>
      </c>
      <c r="CW174" s="190">
        <f t="shared" si="825"/>
        <v>191.25</v>
      </c>
      <c r="CX174" s="190">
        <f t="shared" si="825"/>
        <v>0</v>
      </c>
      <c r="CY174" s="190">
        <f t="shared" si="825"/>
        <v>0</v>
      </c>
      <c r="CZ174" s="190">
        <f t="shared" si="825"/>
        <v>0</v>
      </c>
      <c r="DA174" s="190">
        <f t="shared" si="825"/>
        <v>521.25</v>
      </c>
      <c r="DB174" s="190">
        <f t="shared" si="825"/>
        <v>30</v>
      </c>
      <c r="DC174" s="190">
        <f t="shared" si="825"/>
        <v>544.1</v>
      </c>
      <c r="DD174" s="190">
        <f t="shared" si="825"/>
        <v>29.75</v>
      </c>
      <c r="DE174" s="190">
        <f t="shared" si="825"/>
        <v>-22.849999999999994</v>
      </c>
      <c r="DF174" s="190">
        <f t="shared" si="825"/>
        <v>0.25</v>
      </c>
      <c r="DG174" s="190">
        <f t="shared" si="825"/>
        <v>191.25</v>
      </c>
      <c r="DH174" s="190">
        <f t="shared" si="825"/>
        <v>8.5</v>
      </c>
      <c r="DI174" s="190">
        <f t="shared" si="825"/>
        <v>214.1</v>
      </c>
      <c r="DJ174" s="190">
        <f t="shared" si="825"/>
        <v>0</v>
      </c>
      <c r="DK174" s="104">
        <f t="shared" si="577"/>
        <v>189.65</v>
      </c>
      <c r="DL174" s="104">
        <f t="shared" si="578"/>
        <v>4</v>
      </c>
      <c r="DM174" s="104">
        <f t="shared" si="663"/>
        <v>29.650000000000006</v>
      </c>
      <c r="DN174" s="104">
        <f t="shared" si="664"/>
        <v>30</v>
      </c>
      <c r="DO174" s="22">
        <f t="shared" si="825"/>
        <v>925</v>
      </c>
      <c r="DP174" s="22">
        <f t="shared" si="825"/>
        <v>34</v>
      </c>
      <c r="DQ174" s="22">
        <f t="shared" si="825"/>
        <v>1115</v>
      </c>
      <c r="DR174" s="22">
        <f t="shared" si="825"/>
        <v>0</v>
      </c>
      <c r="DS174" s="22">
        <f t="shared" si="825"/>
        <v>0</v>
      </c>
      <c r="DT174" s="22">
        <f t="shared" si="825"/>
        <v>0</v>
      </c>
      <c r="DU174" s="22">
        <f t="shared" si="825"/>
        <v>0</v>
      </c>
      <c r="DV174" s="22">
        <f t="shared" si="825"/>
        <v>0</v>
      </c>
    </row>
    <row r="175" spans="1:126" ht="18.75">
      <c r="A175" s="18">
        <v>32</v>
      </c>
      <c r="B175" s="18" t="s">
        <v>281</v>
      </c>
      <c r="C175" s="19" t="s">
        <v>282</v>
      </c>
      <c r="D175" s="20" t="s">
        <v>283</v>
      </c>
      <c r="E175" s="21" t="s">
        <v>284</v>
      </c>
      <c r="F175" s="81">
        <v>377.15</v>
      </c>
      <c r="G175" s="81">
        <v>7.74</v>
      </c>
      <c r="H175" s="81">
        <v>377.15</v>
      </c>
      <c r="I175" s="22">
        <v>7.74</v>
      </c>
      <c r="J175" s="88">
        <v>0</v>
      </c>
      <c r="K175" s="88">
        <v>0</v>
      </c>
      <c r="L175" s="88">
        <v>0</v>
      </c>
      <c r="M175" s="88">
        <f>+L175+K175+J175</f>
        <v>0</v>
      </c>
      <c r="N175" s="88">
        <v>450</v>
      </c>
      <c r="O175" s="88">
        <v>0</v>
      </c>
      <c r="P175" s="88">
        <v>0</v>
      </c>
      <c r="Q175" s="88">
        <f>+P175+O175+N175</f>
        <v>450</v>
      </c>
      <c r="R175" s="88">
        <f>+Q175+M175</f>
        <v>450</v>
      </c>
      <c r="S175" s="88">
        <v>70</v>
      </c>
      <c r="V175" s="22">
        <f t="shared" ref="V175:V177" si="826">ROUND(H175*1.0583,2)</f>
        <v>399.14</v>
      </c>
      <c r="W175" s="22">
        <f t="shared" ref="W175:W177" si="827">ROUND(I175*1.0327,2)</f>
        <v>7.99</v>
      </c>
      <c r="X175" s="22">
        <f t="shared" si="642"/>
        <v>50.860000000000014</v>
      </c>
      <c r="Y175" s="22">
        <f t="shared" si="643"/>
        <v>62.01</v>
      </c>
      <c r="Z175" s="22">
        <v>0</v>
      </c>
      <c r="AA175" s="22">
        <v>399.14</v>
      </c>
      <c r="AB175" s="22">
        <f t="shared" si="644"/>
        <v>399.14</v>
      </c>
      <c r="AC175" s="109">
        <f t="shared" si="645"/>
        <v>0</v>
      </c>
      <c r="AD175" s="22">
        <f t="shared" ref="AD175:AD177" si="828">IF(X175&gt;0,V175,R175)</f>
        <v>399.14</v>
      </c>
      <c r="AE175" s="22">
        <f t="shared" ref="AE175:AE177" si="829">IF(Y175&gt;0,W175,S175)</f>
        <v>7.99</v>
      </c>
      <c r="AF175" s="22">
        <f t="shared" si="646"/>
        <v>63.15</v>
      </c>
      <c r="AG175" s="108">
        <f t="shared" si="647"/>
        <v>100</v>
      </c>
      <c r="AH175" s="108">
        <f t="shared" si="648"/>
        <v>2</v>
      </c>
      <c r="AI175" s="127">
        <f t="shared" si="649"/>
        <v>33</v>
      </c>
      <c r="AJ175" s="108">
        <f t="shared" si="650"/>
        <v>1</v>
      </c>
      <c r="AK175" s="143">
        <v>36</v>
      </c>
      <c r="AM175" s="108">
        <f t="shared" si="651"/>
        <v>99.79</v>
      </c>
      <c r="AN175" s="108">
        <f t="shared" si="652"/>
        <v>1.95</v>
      </c>
      <c r="AQ175" s="108">
        <f t="shared" si="653"/>
        <v>235.79000000000002</v>
      </c>
      <c r="AR175" s="108">
        <f t="shared" si="654"/>
        <v>3.95</v>
      </c>
      <c r="AS175" s="116"/>
      <c r="AT175" s="116"/>
      <c r="AU175" s="116">
        <f t="shared" si="749"/>
        <v>99.79</v>
      </c>
      <c r="AV175" s="116">
        <v>0</v>
      </c>
      <c r="AW175" s="153">
        <v>30.13</v>
      </c>
      <c r="AX175" s="153">
        <v>63.24</v>
      </c>
      <c r="AY175" s="108">
        <f t="shared" si="633"/>
        <v>398.71000000000004</v>
      </c>
      <c r="AZ175" s="108">
        <f t="shared" si="634"/>
        <v>68.19</v>
      </c>
      <c r="BA175" s="108">
        <f t="shared" si="635"/>
        <v>466.90000000000003</v>
      </c>
      <c r="BB175" s="139">
        <v>386.44</v>
      </c>
      <c r="BC175" s="139">
        <v>65.489999999999995</v>
      </c>
      <c r="BD175" s="139">
        <f t="shared" si="636"/>
        <v>12.270000000000039</v>
      </c>
      <c r="BE175" s="139">
        <f t="shared" si="637"/>
        <v>2.7000000000000028</v>
      </c>
      <c r="BF175" s="139">
        <f t="shared" si="638"/>
        <v>77.290000000000006</v>
      </c>
      <c r="BG175" s="139">
        <f t="shared" si="639"/>
        <v>13.1</v>
      </c>
      <c r="BH175" s="108">
        <v>15.65</v>
      </c>
      <c r="BI175" s="108">
        <v>3.8</v>
      </c>
      <c r="BJ175" s="108">
        <v>10.119999999999999</v>
      </c>
      <c r="BL175" s="108">
        <f t="shared" si="662"/>
        <v>424.48</v>
      </c>
      <c r="BM175" s="108">
        <f t="shared" si="679"/>
        <v>71.989999999999995</v>
      </c>
      <c r="BN175" s="108">
        <f t="shared" si="680"/>
        <v>496.47</v>
      </c>
      <c r="BO175" s="108">
        <v>421.09</v>
      </c>
      <c r="BP175" s="127">
        <v>66.040000000000006</v>
      </c>
      <c r="BQ175" s="108">
        <f t="shared" si="681"/>
        <v>3.3900000000000432</v>
      </c>
      <c r="BR175" s="108">
        <f t="shared" si="682"/>
        <v>5.9499999999999886</v>
      </c>
      <c r="BS175" s="108">
        <f t="shared" si="683"/>
        <v>38.28</v>
      </c>
      <c r="BT175" s="108">
        <f t="shared" si="684"/>
        <v>6</v>
      </c>
      <c r="BU175" s="108">
        <f t="shared" si="745"/>
        <v>34.889999999999958</v>
      </c>
      <c r="BV175" s="108">
        <v>0</v>
      </c>
      <c r="CA175" s="108">
        <v>459.37</v>
      </c>
      <c r="CB175" s="108">
        <v>71.989999999999995</v>
      </c>
      <c r="CC175">
        <v>505.31</v>
      </c>
      <c r="CD175">
        <v>82.79</v>
      </c>
      <c r="CE175" s="189">
        <v>42</v>
      </c>
      <c r="CF175" s="189">
        <v>0</v>
      </c>
      <c r="CG175" s="189">
        <f t="shared" si="685"/>
        <v>114.84</v>
      </c>
      <c r="CH175" s="189">
        <f t="shared" si="686"/>
        <v>18</v>
      </c>
      <c r="CI175" s="150"/>
      <c r="CJ175" s="150"/>
      <c r="CK175" s="150">
        <v>122</v>
      </c>
      <c r="CL175" s="150">
        <v>19</v>
      </c>
      <c r="CM175" s="150"/>
      <c r="CN175" s="150"/>
      <c r="CO175" s="150">
        <v>460</v>
      </c>
      <c r="CP175" s="150"/>
      <c r="CQ175" s="150">
        <f t="shared" si="687"/>
        <v>488</v>
      </c>
      <c r="CR175" s="150">
        <f t="shared" si="688"/>
        <v>76</v>
      </c>
      <c r="CS175" s="150">
        <f t="shared" si="689"/>
        <v>460</v>
      </c>
      <c r="CT175" s="150">
        <f>IF(CP175&lt;CR175,CP175,CR175)+19</f>
        <v>19</v>
      </c>
      <c r="CU175" s="150">
        <v>470</v>
      </c>
      <c r="CV175" s="150">
        <f>19.07+0.03</f>
        <v>19.100000000000001</v>
      </c>
      <c r="CW175" s="150">
        <f t="shared" si="691"/>
        <v>117.5</v>
      </c>
      <c r="CX175" s="150">
        <v>-6.106226635438361E-16</v>
      </c>
      <c r="CY175" s="150"/>
      <c r="CZ175" s="150">
        <v>0.1</v>
      </c>
      <c r="DA175" s="150">
        <v>281.5</v>
      </c>
      <c r="DB175" s="150">
        <v>19.099999999999998</v>
      </c>
      <c r="DC175" s="150">
        <v>248.77</v>
      </c>
      <c r="DD175" s="150">
        <v>19.100000000000001</v>
      </c>
      <c r="DE175" s="150">
        <v>32.72999999999999</v>
      </c>
      <c r="DF175" s="150">
        <v>0</v>
      </c>
      <c r="DG175" s="150">
        <v>117.5</v>
      </c>
      <c r="DH175" s="150">
        <v>4.7699999999999996</v>
      </c>
      <c r="DI175" s="150">
        <v>84.77000000000001</v>
      </c>
      <c r="DJ175" s="150">
        <v>0</v>
      </c>
      <c r="DK175" s="104">
        <f t="shared" si="577"/>
        <v>103.72999999999999</v>
      </c>
      <c r="DL175" s="104">
        <f t="shared" si="578"/>
        <v>3.5527136788005009E-15</v>
      </c>
      <c r="DM175" s="104">
        <f t="shared" si="663"/>
        <v>103.72999999999999</v>
      </c>
      <c r="DN175" s="104">
        <f t="shared" si="664"/>
        <v>3.5527136788005009E-15</v>
      </c>
      <c r="DO175" s="104">
        <v>470</v>
      </c>
      <c r="DP175" s="104">
        <v>19.100000000000001</v>
      </c>
      <c r="DQ175" s="104">
        <v>575</v>
      </c>
      <c r="DR175" s="104">
        <v>20</v>
      </c>
    </row>
    <row r="176" spans="1:126" ht="18.75">
      <c r="A176" s="18">
        <v>33</v>
      </c>
      <c r="B176" s="18" t="s">
        <v>285</v>
      </c>
      <c r="C176" s="19" t="s">
        <v>99</v>
      </c>
      <c r="D176" s="20" t="s">
        <v>286</v>
      </c>
      <c r="E176" s="21" t="s">
        <v>287</v>
      </c>
      <c r="F176" s="81">
        <v>677.17000000000007</v>
      </c>
      <c r="G176" s="81">
        <v>63.64</v>
      </c>
      <c r="H176" s="81">
        <v>677.17000000000007</v>
      </c>
      <c r="I176" s="22">
        <v>68.64</v>
      </c>
      <c r="J176" s="88">
        <v>720</v>
      </c>
      <c r="K176" s="88">
        <v>0</v>
      </c>
      <c r="L176" s="88">
        <v>0</v>
      </c>
      <c r="M176" s="88">
        <f>+L176+K176+J176</f>
        <v>720</v>
      </c>
      <c r="N176" s="88">
        <v>0</v>
      </c>
      <c r="O176" s="88">
        <v>0</v>
      </c>
      <c r="P176" s="88">
        <v>0</v>
      </c>
      <c r="Q176" s="88">
        <f>+P176+O176+N176</f>
        <v>0</v>
      </c>
      <c r="R176" s="88">
        <f>+Q176+M176</f>
        <v>720</v>
      </c>
      <c r="S176" s="88">
        <v>35</v>
      </c>
      <c r="V176" s="22">
        <f t="shared" si="826"/>
        <v>716.65</v>
      </c>
      <c r="W176" s="22">
        <f t="shared" si="827"/>
        <v>70.88</v>
      </c>
      <c r="X176" s="22">
        <f t="shared" si="642"/>
        <v>3.3500000000000227</v>
      </c>
      <c r="Y176" s="22">
        <f t="shared" si="643"/>
        <v>-35.879999999999995</v>
      </c>
      <c r="Z176" s="22">
        <v>716.65</v>
      </c>
      <c r="AA176" s="22">
        <v>0</v>
      </c>
      <c r="AB176" s="22">
        <f t="shared" si="644"/>
        <v>716.65</v>
      </c>
      <c r="AC176" s="109">
        <f t="shared" si="645"/>
        <v>0</v>
      </c>
      <c r="AD176" s="22">
        <f t="shared" si="828"/>
        <v>716.65</v>
      </c>
      <c r="AE176" s="22">
        <f t="shared" si="829"/>
        <v>35</v>
      </c>
      <c r="AF176" s="22">
        <f t="shared" si="646"/>
        <v>31.58</v>
      </c>
      <c r="AG176" s="108">
        <f t="shared" si="647"/>
        <v>179</v>
      </c>
      <c r="AH176" s="108">
        <f t="shared" si="648"/>
        <v>9</v>
      </c>
      <c r="AI176" s="127">
        <f t="shared" si="649"/>
        <v>60</v>
      </c>
      <c r="AJ176" s="108">
        <f t="shared" si="650"/>
        <v>3</v>
      </c>
      <c r="AL176" s="143">
        <v>18</v>
      </c>
      <c r="AM176" s="108">
        <f t="shared" si="651"/>
        <v>179.16</v>
      </c>
      <c r="AN176" s="108">
        <f>ROUND(AE176*24.35%,2)-0.52</f>
        <v>8</v>
      </c>
      <c r="AQ176" s="108">
        <f t="shared" si="653"/>
        <v>358.15999999999997</v>
      </c>
      <c r="AR176" s="108">
        <f t="shared" si="654"/>
        <v>35</v>
      </c>
      <c r="AS176" s="116"/>
      <c r="AT176" s="116"/>
      <c r="AU176" s="116">
        <f t="shared" si="749"/>
        <v>179.16</v>
      </c>
      <c r="AV176" s="116">
        <v>0</v>
      </c>
      <c r="AW176" s="116"/>
      <c r="AX176" s="116"/>
      <c r="AY176" s="108">
        <f t="shared" si="633"/>
        <v>597.31999999999994</v>
      </c>
      <c r="AZ176" s="108">
        <f t="shared" si="634"/>
        <v>38</v>
      </c>
      <c r="BA176" s="108">
        <f t="shared" si="635"/>
        <v>635.31999999999994</v>
      </c>
      <c r="BB176" s="139">
        <v>595.80999999999995</v>
      </c>
      <c r="BC176" s="139">
        <v>28.84</v>
      </c>
      <c r="BD176" s="139">
        <f t="shared" si="636"/>
        <v>1.5099999999999909</v>
      </c>
      <c r="BE176" s="139">
        <f t="shared" si="637"/>
        <v>9.16</v>
      </c>
      <c r="BF176" s="139">
        <f t="shared" si="638"/>
        <v>119.16</v>
      </c>
      <c r="BG176" s="139">
        <f t="shared" si="639"/>
        <v>5.77</v>
      </c>
      <c r="BH176" s="108">
        <v>58.83</v>
      </c>
      <c r="BI176" s="108">
        <v>0</v>
      </c>
      <c r="BL176" s="108">
        <f t="shared" si="662"/>
        <v>656.15</v>
      </c>
      <c r="BM176" s="108">
        <f t="shared" si="679"/>
        <v>38</v>
      </c>
      <c r="BN176" s="108">
        <f t="shared" si="680"/>
        <v>694.15</v>
      </c>
      <c r="BO176" s="108">
        <v>654.64</v>
      </c>
      <c r="BP176" s="127">
        <v>28.84</v>
      </c>
      <c r="BQ176" s="108">
        <f t="shared" si="681"/>
        <v>1.5099999999999909</v>
      </c>
      <c r="BR176" s="108">
        <f t="shared" si="682"/>
        <v>9.16</v>
      </c>
      <c r="BS176" s="108">
        <f t="shared" si="683"/>
        <v>59.51</v>
      </c>
      <c r="BT176" s="108">
        <f t="shared" si="684"/>
        <v>2.62</v>
      </c>
      <c r="BU176" s="108">
        <f t="shared" si="745"/>
        <v>58.000000000000007</v>
      </c>
      <c r="BV176" s="108">
        <v>0</v>
      </c>
      <c r="BW176" s="109">
        <v>25</v>
      </c>
      <c r="BY176" s="108">
        <v>3</v>
      </c>
      <c r="CA176" s="108">
        <v>739.15</v>
      </c>
      <c r="CB176" s="108">
        <v>35</v>
      </c>
      <c r="CC176">
        <v>813.07</v>
      </c>
      <c r="CD176">
        <v>40.25</v>
      </c>
      <c r="CE176" s="189">
        <v>68</v>
      </c>
      <c r="CF176" s="189">
        <v>0</v>
      </c>
      <c r="CG176" s="189">
        <f t="shared" si="685"/>
        <v>184.79</v>
      </c>
      <c r="CH176" s="189">
        <f t="shared" si="686"/>
        <v>8.75</v>
      </c>
      <c r="CI176" s="150"/>
      <c r="CJ176" s="150"/>
      <c r="CK176" s="150">
        <v>240</v>
      </c>
      <c r="CL176" s="150">
        <v>2</v>
      </c>
      <c r="CM176" s="150"/>
      <c r="CN176" s="150"/>
      <c r="CO176" s="150">
        <v>750</v>
      </c>
      <c r="CP176" s="150">
        <v>0</v>
      </c>
      <c r="CQ176" s="150">
        <f t="shared" si="687"/>
        <v>960</v>
      </c>
      <c r="CR176" s="150">
        <f t="shared" si="688"/>
        <v>8</v>
      </c>
      <c r="CS176" s="150">
        <f t="shared" si="689"/>
        <v>750</v>
      </c>
      <c r="CT176" s="150">
        <f>IF(CP176&lt;CR176,CP176,CR176)+75</f>
        <v>75</v>
      </c>
      <c r="CU176" s="150">
        <f t="shared" ref="CU176" si="830">IF(CQ176&lt;CS176,CQ176,CS176)</f>
        <v>750</v>
      </c>
      <c r="CV176" s="150">
        <f>IF(CR176&lt;CT176,CR176,CT176)+75</f>
        <v>83</v>
      </c>
      <c r="CW176" s="150">
        <f t="shared" si="691"/>
        <v>187.5</v>
      </c>
      <c r="CX176" s="150">
        <f t="shared" si="575"/>
        <v>20.75</v>
      </c>
      <c r="CY176" s="150"/>
      <c r="CZ176" s="150"/>
      <c r="DA176" s="150">
        <f t="shared" si="692"/>
        <v>495.5</v>
      </c>
      <c r="DB176" s="150">
        <f t="shared" si="693"/>
        <v>22.75</v>
      </c>
      <c r="DC176" s="150">
        <v>497.41</v>
      </c>
      <c r="DD176" s="150">
        <v>0.17</v>
      </c>
      <c r="DE176" s="150">
        <f t="shared" si="694"/>
        <v>-1.910000000000025</v>
      </c>
      <c r="DF176" s="150">
        <f t="shared" si="695"/>
        <v>22.58</v>
      </c>
      <c r="DG176" s="150">
        <f t="shared" ref="DG176:DH178" si="831">ROUND(0.25*(MIN(CU176,DO176)),2)</f>
        <v>187.5</v>
      </c>
      <c r="DH176" s="150">
        <f t="shared" si="831"/>
        <v>20.75</v>
      </c>
      <c r="DI176" s="150">
        <f>+DG176-DE176+100-34.91</f>
        <v>254.50000000000003</v>
      </c>
      <c r="DJ176" s="150">
        <v>60.25</v>
      </c>
      <c r="DK176" s="104">
        <f t="shared" si="577"/>
        <v>74.999999999999972</v>
      </c>
      <c r="DL176" s="104">
        <f t="shared" si="578"/>
        <v>17</v>
      </c>
      <c r="DM176" s="104">
        <f t="shared" si="663"/>
        <v>0</v>
      </c>
      <c r="DN176" s="104">
        <f t="shared" si="664"/>
        <v>0</v>
      </c>
      <c r="DO176" s="104">
        <v>825</v>
      </c>
      <c r="DP176" s="104">
        <v>100</v>
      </c>
      <c r="DQ176" s="104">
        <v>850</v>
      </c>
      <c r="DR176" s="104">
        <v>0</v>
      </c>
    </row>
    <row r="177" spans="1:126" ht="18.75">
      <c r="A177" s="13">
        <v>34</v>
      </c>
      <c r="B177" s="13"/>
      <c r="C177" s="14"/>
      <c r="D177" s="140" t="s">
        <v>288</v>
      </c>
      <c r="E177" s="16"/>
      <c r="F177" s="81">
        <v>845.46</v>
      </c>
      <c r="G177" s="81">
        <v>66.550000000000011</v>
      </c>
      <c r="H177" s="81">
        <v>845.46</v>
      </c>
      <c r="I177" s="17">
        <v>111.57000000000002</v>
      </c>
      <c r="J177" s="86">
        <v>850</v>
      </c>
      <c r="K177" s="87">
        <v>0</v>
      </c>
      <c r="L177" s="87">
        <v>0</v>
      </c>
      <c r="M177" s="87">
        <f t="shared" ref="M177:M178" si="832">J177+K177+L177</f>
        <v>850</v>
      </c>
      <c r="N177" s="87">
        <v>0</v>
      </c>
      <c r="O177" s="87">
        <v>0</v>
      </c>
      <c r="P177" s="87">
        <v>0</v>
      </c>
      <c r="Q177" s="87">
        <f t="shared" ref="Q177:Q178" si="833">N177+O177+P177</f>
        <v>0</v>
      </c>
      <c r="R177" s="87">
        <f t="shared" ref="R177:R178" si="834">+Q177+M177</f>
        <v>850</v>
      </c>
      <c r="S177" s="87">
        <v>100</v>
      </c>
      <c r="V177" s="17">
        <f t="shared" si="826"/>
        <v>894.75</v>
      </c>
      <c r="W177" s="17">
        <f t="shared" si="827"/>
        <v>115.22</v>
      </c>
      <c r="X177" s="108">
        <f t="shared" si="642"/>
        <v>-44.75</v>
      </c>
      <c r="Y177" s="108">
        <f t="shared" si="643"/>
        <v>-15.219999999999999</v>
      </c>
      <c r="Z177" s="108">
        <v>850</v>
      </c>
      <c r="AA177" s="108"/>
      <c r="AB177" s="108">
        <f t="shared" si="644"/>
        <v>850</v>
      </c>
      <c r="AC177" s="109">
        <f t="shared" si="645"/>
        <v>0</v>
      </c>
      <c r="AD177" s="108">
        <f t="shared" si="828"/>
        <v>850</v>
      </c>
      <c r="AE177" s="108">
        <f t="shared" si="829"/>
        <v>100</v>
      </c>
      <c r="AF177" s="108">
        <f t="shared" si="646"/>
        <v>90.22</v>
      </c>
      <c r="AG177" s="108">
        <f t="shared" si="647"/>
        <v>213</v>
      </c>
      <c r="AH177" s="108">
        <f t="shared" si="648"/>
        <v>25</v>
      </c>
      <c r="AI177" s="127">
        <f t="shared" si="649"/>
        <v>71</v>
      </c>
      <c r="AJ177" s="108">
        <f t="shared" si="650"/>
        <v>8</v>
      </c>
      <c r="AM177" s="108">
        <f t="shared" si="651"/>
        <v>212.5</v>
      </c>
      <c r="AN177" s="108">
        <f t="shared" si="652"/>
        <v>24.35</v>
      </c>
      <c r="AQ177" s="108">
        <f t="shared" si="653"/>
        <v>425.5</v>
      </c>
      <c r="AR177" s="108">
        <f t="shared" si="654"/>
        <v>49.35</v>
      </c>
      <c r="AS177" s="116"/>
      <c r="AT177" s="116"/>
      <c r="AU177" s="116">
        <f t="shared" si="749"/>
        <v>212.5</v>
      </c>
      <c r="AV177" s="116">
        <f t="shared" si="821"/>
        <v>25</v>
      </c>
      <c r="AW177" s="143">
        <v>30</v>
      </c>
      <c r="AX177" s="116"/>
      <c r="AY177" s="108">
        <f t="shared" si="633"/>
        <v>739</v>
      </c>
      <c r="AZ177" s="108">
        <f t="shared" si="634"/>
        <v>82.35</v>
      </c>
      <c r="BA177" s="108">
        <f t="shared" si="635"/>
        <v>821.35</v>
      </c>
      <c r="BB177" s="139">
        <v>729.9</v>
      </c>
      <c r="BC177" s="139">
        <v>23.77</v>
      </c>
      <c r="BD177" s="139">
        <f t="shared" si="636"/>
        <v>9.1000000000000227</v>
      </c>
      <c r="BE177" s="139">
        <f t="shared" si="637"/>
        <v>58.58</v>
      </c>
      <c r="BF177" s="139">
        <f t="shared" si="638"/>
        <v>145.97999999999999</v>
      </c>
      <c r="BG177" s="139">
        <f t="shared" si="639"/>
        <v>4.75</v>
      </c>
      <c r="BH177" s="108">
        <v>68.44</v>
      </c>
      <c r="BI177" s="108">
        <v>0</v>
      </c>
      <c r="BL177" s="108">
        <f t="shared" si="662"/>
        <v>807.44</v>
      </c>
      <c r="BM177" s="108">
        <f t="shared" si="679"/>
        <v>82.35</v>
      </c>
      <c r="BN177" s="108">
        <f t="shared" si="680"/>
        <v>889.79000000000008</v>
      </c>
      <c r="BO177" s="108">
        <v>804.36</v>
      </c>
      <c r="BP177" s="127">
        <v>25.16</v>
      </c>
      <c r="BQ177" s="108">
        <f t="shared" si="681"/>
        <v>3.0800000000000409</v>
      </c>
      <c r="BR177" s="108">
        <f t="shared" si="682"/>
        <v>57.19</v>
      </c>
      <c r="BS177" s="108">
        <f t="shared" si="683"/>
        <v>73.12</v>
      </c>
      <c r="BT177" s="108">
        <f t="shared" si="684"/>
        <v>2.29</v>
      </c>
      <c r="BU177" s="108">
        <f t="shared" si="745"/>
        <v>70.039999999999964</v>
      </c>
      <c r="BV177" s="108">
        <v>0</v>
      </c>
      <c r="BW177" s="109">
        <f>1.52+2.3</f>
        <v>3.82</v>
      </c>
      <c r="BY177" s="108">
        <v>55.45</v>
      </c>
      <c r="CA177" s="108">
        <v>881.30000000000007</v>
      </c>
      <c r="CB177" s="108">
        <v>26.899999999999991</v>
      </c>
      <c r="CC177">
        <v>969.43</v>
      </c>
      <c r="CD177">
        <v>30.94</v>
      </c>
      <c r="CE177" s="189">
        <v>81</v>
      </c>
      <c r="CF177" s="189">
        <v>3</v>
      </c>
      <c r="CG177" s="189">
        <f t="shared" si="685"/>
        <v>220.33</v>
      </c>
      <c r="CH177" s="189">
        <f t="shared" si="686"/>
        <v>6.73</v>
      </c>
      <c r="CI177" s="150"/>
      <c r="CJ177" s="150"/>
      <c r="CK177" s="150">
        <v>236</v>
      </c>
      <c r="CL177" s="150">
        <f>54-10-10</f>
        <v>34</v>
      </c>
      <c r="CM177" s="150"/>
      <c r="CN177" s="150">
        <v>20</v>
      </c>
      <c r="CO177" s="150">
        <v>950</v>
      </c>
      <c r="CP177" s="150">
        <f>35+22</f>
        <v>57</v>
      </c>
      <c r="CQ177" s="150">
        <f t="shared" si="687"/>
        <v>944</v>
      </c>
      <c r="CR177" s="150">
        <f t="shared" si="688"/>
        <v>136</v>
      </c>
      <c r="CS177" s="150">
        <f t="shared" si="689"/>
        <v>944</v>
      </c>
      <c r="CT177" s="150">
        <f t="shared" si="690"/>
        <v>57</v>
      </c>
      <c r="CU177" s="150">
        <v>920</v>
      </c>
      <c r="CV177" s="150">
        <v>350</v>
      </c>
      <c r="CW177" s="150">
        <f t="shared" si="691"/>
        <v>230</v>
      </c>
      <c r="CX177" s="150">
        <v>234</v>
      </c>
      <c r="CY177" s="150"/>
      <c r="CZ177" s="150"/>
      <c r="DA177" s="150">
        <f t="shared" si="692"/>
        <v>547</v>
      </c>
      <c r="DB177" s="150">
        <f t="shared" si="693"/>
        <v>291</v>
      </c>
      <c r="DC177" s="150">
        <v>533.61</v>
      </c>
      <c r="DD177" s="150">
        <v>272.63</v>
      </c>
      <c r="DE177" s="150">
        <f t="shared" si="694"/>
        <v>13.389999999999986</v>
      </c>
      <c r="DF177" s="150">
        <f t="shared" si="695"/>
        <v>18.370000000000005</v>
      </c>
      <c r="DG177" s="150">
        <f t="shared" si="831"/>
        <v>230</v>
      </c>
      <c r="DH177" s="150">
        <f t="shared" si="831"/>
        <v>87.5</v>
      </c>
      <c r="DI177" s="150">
        <f>+DG177-DE177</f>
        <v>216.61</v>
      </c>
      <c r="DJ177" s="150">
        <f>+DH177-DF177-20</f>
        <v>49.129999999999995</v>
      </c>
      <c r="DK177" s="104">
        <f t="shared" si="577"/>
        <v>156.38999999999999</v>
      </c>
      <c r="DL177" s="104">
        <f t="shared" si="578"/>
        <v>59.870000000000005</v>
      </c>
      <c r="DM177" s="104">
        <f t="shared" si="663"/>
        <v>156.38999999999999</v>
      </c>
      <c r="DN177" s="104">
        <f t="shared" si="664"/>
        <v>9.8700000000000045</v>
      </c>
      <c r="DO177" s="104">
        <v>920</v>
      </c>
      <c r="DP177" s="104">
        <v>400</v>
      </c>
      <c r="DQ177" s="104">
        <v>1034</v>
      </c>
      <c r="DR177" s="104">
        <v>100</v>
      </c>
    </row>
    <row r="178" spans="1:126" ht="18.75">
      <c r="A178" s="13">
        <v>35</v>
      </c>
      <c r="B178" s="13"/>
      <c r="C178" s="14"/>
      <c r="D178" s="15" t="s">
        <v>289</v>
      </c>
      <c r="E178" s="16"/>
      <c r="F178" s="81">
        <v>226.63000000000002</v>
      </c>
      <c r="G178" s="81">
        <v>0</v>
      </c>
      <c r="H178" s="81">
        <v>237.66000000000003</v>
      </c>
      <c r="I178" s="17">
        <v>0</v>
      </c>
      <c r="J178" s="86">
        <v>136.25</v>
      </c>
      <c r="K178" s="87">
        <v>0</v>
      </c>
      <c r="L178" s="87">
        <v>0</v>
      </c>
      <c r="M178" s="87">
        <f t="shared" si="832"/>
        <v>136.25</v>
      </c>
      <c r="N178" s="87">
        <v>0</v>
      </c>
      <c r="O178" s="87">
        <v>0</v>
      </c>
      <c r="P178" s="87">
        <v>0</v>
      </c>
      <c r="Q178" s="87">
        <f t="shared" si="833"/>
        <v>0</v>
      </c>
      <c r="R178" s="87">
        <f t="shared" si="834"/>
        <v>136.25</v>
      </c>
      <c r="S178" s="87">
        <v>0</v>
      </c>
      <c r="V178" s="17">
        <f t="shared" ref="V178" si="835">ROUND(H178*1.0583,2)</f>
        <v>251.52</v>
      </c>
      <c r="W178" s="17">
        <f t="shared" ref="W178" si="836">ROUND(I178*1.0327,2)</f>
        <v>0</v>
      </c>
      <c r="X178" s="108">
        <f t="shared" si="642"/>
        <v>-115.27000000000001</v>
      </c>
      <c r="Y178" s="108">
        <f t="shared" si="643"/>
        <v>0</v>
      </c>
      <c r="Z178" s="108">
        <v>136.25</v>
      </c>
      <c r="AA178" s="108"/>
      <c r="AB178" s="108">
        <f t="shared" si="644"/>
        <v>136.25</v>
      </c>
      <c r="AC178" s="109">
        <f t="shared" si="645"/>
        <v>0</v>
      </c>
      <c r="AD178" s="108">
        <f t="shared" ref="AD178" si="837">IF(X178&gt;0,V178,R178)</f>
        <v>136.25</v>
      </c>
      <c r="AE178" s="108">
        <f t="shared" ref="AE178" si="838">IF(Y178&gt;0,W178,S178)</f>
        <v>0</v>
      </c>
      <c r="AF178" s="108">
        <f t="shared" si="646"/>
        <v>0</v>
      </c>
      <c r="AG178" s="108">
        <f t="shared" si="647"/>
        <v>34</v>
      </c>
      <c r="AH178" s="108">
        <f t="shared" si="648"/>
        <v>0</v>
      </c>
      <c r="AI178" s="127">
        <f t="shared" si="649"/>
        <v>11</v>
      </c>
      <c r="AJ178" s="108">
        <f t="shared" si="650"/>
        <v>0</v>
      </c>
      <c r="AM178" s="108">
        <f t="shared" si="651"/>
        <v>34.06</v>
      </c>
      <c r="AN178" s="108">
        <f t="shared" si="652"/>
        <v>0</v>
      </c>
      <c r="AQ178" s="108">
        <f t="shared" si="653"/>
        <v>68.06</v>
      </c>
      <c r="AR178" s="108">
        <f t="shared" si="654"/>
        <v>0</v>
      </c>
      <c r="AU178" s="108">
        <f t="shared" si="749"/>
        <v>34.06</v>
      </c>
      <c r="AV178" s="108">
        <f t="shared" si="821"/>
        <v>0</v>
      </c>
      <c r="AY178" s="108">
        <f t="shared" si="633"/>
        <v>113.12</v>
      </c>
      <c r="AZ178" s="108">
        <f t="shared" si="634"/>
        <v>0</v>
      </c>
      <c r="BA178" s="108">
        <f t="shared" si="635"/>
        <v>113.12</v>
      </c>
      <c r="BB178" s="139">
        <v>113.12</v>
      </c>
      <c r="BD178" s="139">
        <f t="shared" si="636"/>
        <v>0</v>
      </c>
      <c r="BE178" s="139">
        <f t="shared" si="637"/>
        <v>0</v>
      </c>
      <c r="BF178" s="139">
        <f t="shared" si="638"/>
        <v>22.62</v>
      </c>
      <c r="BG178" s="139">
        <f t="shared" si="639"/>
        <v>0</v>
      </c>
      <c r="BH178" s="108">
        <v>11.31</v>
      </c>
      <c r="BI178" s="108">
        <v>0</v>
      </c>
      <c r="BL178" s="108">
        <f t="shared" si="662"/>
        <v>124.43</v>
      </c>
      <c r="BM178" s="108">
        <f t="shared" si="679"/>
        <v>0</v>
      </c>
      <c r="BN178" s="108">
        <f t="shared" si="680"/>
        <v>124.43</v>
      </c>
      <c r="BO178" s="108">
        <v>113.12</v>
      </c>
      <c r="BP178" s="127"/>
      <c r="BQ178" s="108">
        <f t="shared" si="681"/>
        <v>11.310000000000002</v>
      </c>
      <c r="BR178" s="108">
        <f t="shared" si="682"/>
        <v>0</v>
      </c>
      <c r="BS178" s="108">
        <f t="shared" si="683"/>
        <v>10.28</v>
      </c>
      <c r="BT178" s="108">
        <f t="shared" si="684"/>
        <v>0</v>
      </c>
      <c r="BU178" s="108">
        <f t="shared" si="745"/>
        <v>-1.0300000000000029</v>
      </c>
      <c r="BV178" s="108">
        <v>0</v>
      </c>
      <c r="BW178" s="108">
        <v>4</v>
      </c>
      <c r="CA178" s="108">
        <v>127.4</v>
      </c>
      <c r="CB178" s="108">
        <v>0</v>
      </c>
      <c r="CC178">
        <v>140.13999999999999</v>
      </c>
      <c r="CD178">
        <v>0</v>
      </c>
      <c r="CE178" s="189">
        <v>12</v>
      </c>
      <c r="CF178" s="189">
        <v>0</v>
      </c>
      <c r="CG178" s="189">
        <f t="shared" si="685"/>
        <v>31.85</v>
      </c>
      <c r="CH178" s="189">
        <f t="shared" si="686"/>
        <v>0</v>
      </c>
      <c r="CI178" s="150"/>
      <c r="CJ178" s="150"/>
      <c r="CK178" s="150">
        <v>28</v>
      </c>
      <c r="CL178" s="150">
        <v>0</v>
      </c>
      <c r="CM178" s="150"/>
      <c r="CN178" s="150"/>
      <c r="CO178" s="150">
        <v>117.3</v>
      </c>
      <c r="CP178" s="150"/>
      <c r="CQ178" s="150">
        <f t="shared" si="687"/>
        <v>112</v>
      </c>
      <c r="CR178" s="150">
        <f t="shared" si="688"/>
        <v>0</v>
      </c>
      <c r="CS178" s="150">
        <f t="shared" si="689"/>
        <v>112</v>
      </c>
      <c r="CT178" s="150">
        <f t="shared" si="690"/>
        <v>0</v>
      </c>
      <c r="CU178" s="150">
        <v>114.5</v>
      </c>
      <c r="CV178" s="150">
        <v>0</v>
      </c>
      <c r="CW178" s="150">
        <f t="shared" si="691"/>
        <v>28.63</v>
      </c>
      <c r="CX178" s="150">
        <f t="shared" si="575"/>
        <v>0</v>
      </c>
      <c r="CY178" s="150"/>
      <c r="CZ178" s="150"/>
      <c r="DA178" s="150">
        <f t="shared" si="692"/>
        <v>68.63</v>
      </c>
      <c r="DB178" s="150">
        <f t="shared" si="693"/>
        <v>0</v>
      </c>
      <c r="DC178" s="150">
        <v>68.63</v>
      </c>
      <c r="DD178" s="150">
        <v>0</v>
      </c>
      <c r="DE178" s="150">
        <f t="shared" si="694"/>
        <v>0</v>
      </c>
      <c r="DF178" s="150">
        <f t="shared" si="695"/>
        <v>0</v>
      </c>
      <c r="DG178" s="150">
        <f t="shared" si="831"/>
        <v>28.63</v>
      </c>
      <c r="DH178" s="150">
        <f t="shared" si="831"/>
        <v>0</v>
      </c>
      <c r="DI178" s="150">
        <f>+DG178-DE178</f>
        <v>28.63</v>
      </c>
      <c r="DJ178" s="150">
        <f>+DH178-DF178</f>
        <v>0</v>
      </c>
      <c r="DK178" s="104">
        <f t="shared" ref="DK178:DK241" si="839">+DO178-DA178-DI178</f>
        <v>17.240000000000006</v>
      </c>
      <c r="DL178" s="104">
        <f t="shared" ref="DL178:DL241" si="840">+DP178-DB178-DJ178</f>
        <v>0</v>
      </c>
      <c r="DM178" s="104">
        <f t="shared" si="663"/>
        <v>17.240000000000006</v>
      </c>
      <c r="DN178" s="104">
        <f t="shared" si="664"/>
        <v>0</v>
      </c>
      <c r="DO178" s="179">
        <v>114.5</v>
      </c>
      <c r="DQ178" s="104">
        <v>150.4</v>
      </c>
    </row>
    <row r="179" spans="1:126" ht="18.75">
      <c r="A179" s="18"/>
      <c r="B179" s="18" t="s">
        <v>290</v>
      </c>
      <c r="C179" s="19" t="s">
        <v>45</v>
      </c>
      <c r="D179" s="20" t="s">
        <v>288</v>
      </c>
      <c r="E179" s="21" t="s">
        <v>291</v>
      </c>
      <c r="F179" s="22">
        <v>1072.0900000000001</v>
      </c>
      <c r="G179" s="22">
        <v>66.550000000000011</v>
      </c>
      <c r="H179" s="22">
        <v>1083.1200000000001</v>
      </c>
      <c r="I179" s="22">
        <v>111.57000000000002</v>
      </c>
      <c r="J179" s="88">
        <f>+J177+J178</f>
        <v>986.25</v>
      </c>
      <c r="K179" s="88">
        <f t="shared" ref="K179:AA179" si="841">+K177+K178</f>
        <v>0</v>
      </c>
      <c r="L179" s="88">
        <f t="shared" si="841"/>
        <v>0</v>
      </c>
      <c r="M179" s="88">
        <f t="shared" si="841"/>
        <v>986.25</v>
      </c>
      <c r="N179" s="88">
        <f t="shared" si="841"/>
        <v>0</v>
      </c>
      <c r="O179" s="88">
        <f t="shared" si="841"/>
        <v>0</v>
      </c>
      <c r="P179" s="88">
        <f t="shared" si="841"/>
        <v>0</v>
      </c>
      <c r="Q179" s="88">
        <f t="shared" si="841"/>
        <v>0</v>
      </c>
      <c r="R179" s="88">
        <f t="shared" si="841"/>
        <v>986.25</v>
      </c>
      <c r="S179" s="88">
        <f t="shared" si="841"/>
        <v>100</v>
      </c>
      <c r="T179" s="88">
        <f t="shared" si="841"/>
        <v>0</v>
      </c>
      <c r="U179" s="88">
        <f t="shared" si="841"/>
        <v>0</v>
      </c>
      <c r="V179" s="88">
        <f t="shared" si="841"/>
        <v>1146.27</v>
      </c>
      <c r="W179" s="88">
        <f t="shared" si="841"/>
        <v>115.22</v>
      </c>
      <c r="X179" s="88">
        <f t="shared" si="841"/>
        <v>-160.02000000000001</v>
      </c>
      <c r="Y179" s="88">
        <f t="shared" si="841"/>
        <v>-15.219999999999999</v>
      </c>
      <c r="Z179" s="88">
        <f t="shared" si="841"/>
        <v>986.25</v>
      </c>
      <c r="AA179" s="88">
        <f t="shared" si="841"/>
        <v>0</v>
      </c>
      <c r="AB179" s="22">
        <f t="shared" si="644"/>
        <v>986.25</v>
      </c>
      <c r="AC179" s="109">
        <f t="shared" si="645"/>
        <v>0</v>
      </c>
      <c r="AD179" s="22">
        <f t="shared" ref="AD179:CO179" si="842">+AD177+AD178</f>
        <v>986.25</v>
      </c>
      <c r="AE179" s="22">
        <f t="shared" si="842"/>
        <v>100</v>
      </c>
      <c r="AF179" s="22">
        <f t="shared" si="842"/>
        <v>90.22</v>
      </c>
      <c r="AG179" s="22">
        <f t="shared" si="842"/>
        <v>247</v>
      </c>
      <c r="AH179" s="22">
        <f t="shared" si="842"/>
        <v>25</v>
      </c>
      <c r="AI179" s="118">
        <f t="shared" si="842"/>
        <v>82</v>
      </c>
      <c r="AJ179" s="22">
        <f t="shared" si="842"/>
        <v>8</v>
      </c>
      <c r="AK179" s="22">
        <f t="shared" si="842"/>
        <v>0</v>
      </c>
      <c r="AL179" s="22">
        <f t="shared" si="842"/>
        <v>0</v>
      </c>
      <c r="AM179" s="22">
        <f t="shared" si="842"/>
        <v>246.56</v>
      </c>
      <c r="AN179" s="22">
        <f t="shared" si="842"/>
        <v>24.35</v>
      </c>
      <c r="AO179" s="22">
        <f t="shared" si="842"/>
        <v>0</v>
      </c>
      <c r="AP179" s="22">
        <f t="shared" si="842"/>
        <v>0</v>
      </c>
      <c r="AQ179" s="22">
        <f t="shared" si="842"/>
        <v>493.56</v>
      </c>
      <c r="AR179" s="22">
        <f t="shared" si="842"/>
        <v>49.35</v>
      </c>
      <c r="AS179" s="22">
        <f t="shared" si="842"/>
        <v>0</v>
      </c>
      <c r="AT179" s="22">
        <f t="shared" si="842"/>
        <v>0</v>
      </c>
      <c r="AU179" s="22">
        <f t="shared" si="842"/>
        <v>246.56</v>
      </c>
      <c r="AV179" s="22">
        <f t="shared" si="842"/>
        <v>25</v>
      </c>
      <c r="AW179" s="22">
        <f t="shared" si="842"/>
        <v>30</v>
      </c>
      <c r="AX179" s="22">
        <f t="shared" si="842"/>
        <v>0</v>
      </c>
      <c r="AY179" s="22">
        <f t="shared" si="842"/>
        <v>852.12</v>
      </c>
      <c r="AZ179" s="22">
        <f t="shared" si="842"/>
        <v>82.35</v>
      </c>
      <c r="BA179" s="22">
        <f t="shared" si="842"/>
        <v>934.47</v>
      </c>
      <c r="BB179" s="22">
        <f t="shared" si="842"/>
        <v>843.02</v>
      </c>
      <c r="BC179" s="22">
        <f t="shared" si="842"/>
        <v>23.77</v>
      </c>
      <c r="BD179" s="22">
        <f t="shared" si="842"/>
        <v>9.1000000000000227</v>
      </c>
      <c r="BE179" s="22">
        <f t="shared" si="842"/>
        <v>58.58</v>
      </c>
      <c r="BF179" s="22">
        <f t="shared" si="842"/>
        <v>168.6</v>
      </c>
      <c r="BG179" s="118">
        <f t="shared" si="842"/>
        <v>4.75</v>
      </c>
      <c r="BH179" s="118">
        <f t="shared" si="842"/>
        <v>79.75</v>
      </c>
      <c r="BI179" s="118">
        <f t="shared" si="842"/>
        <v>0</v>
      </c>
      <c r="BJ179" s="118">
        <f t="shared" si="842"/>
        <v>0</v>
      </c>
      <c r="BK179" s="118">
        <f t="shared" si="842"/>
        <v>0</v>
      </c>
      <c r="BL179" s="118">
        <f t="shared" si="842"/>
        <v>931.87000000000012</v>
      </c>
      <c r="BM179" s="118">
        <f t="shared" si="842"/>
        <v>82.35</v>
      </c>
      <c r="BN179" s="118">
        <f t="shared" si="842"/>
        <v>1014.22</v>
      </c>
      <c r="BO179" s="118">
        <f t="shared" si="842"/>
        <v>917.48</v>
      </c>
      <c r="BP179" s="118">
        <f t="shared" si="842"/>
        <v>25.16</v>
      </c>
      <c r="BQ179" s="22">
        <f t="shared" si="842"/>
        <v>14.390000000000043</v>
      </c>
      <c r="BR179" s="22">
        <f t="shared" si="842"/>
        <v>57.19</v>
      </c>
      <c r="BS179" s="22">
        <f t="shared" si="842"/>
        <v>83.4</v>
      </c>
      <c r="BT179" s="22">
        <f t="shared" si="842"/>
        <v>2.29</v>
      </c>
      <c r="BU179" s="22">
        <f t="shared" si="842"/>
        <v>69.009999999999962</v>
      </c>
      <c r="BV179" s="22">
        <f t="shared" si="842"/>
        <v>0</v>
      </c>
      <c r="BW179" s="22">
        <f t="shared" si="842"/>
        <v>7.82</v>
      </c>
      <c r="BX179" s="22">
        <f t="shared" si="842"/>
        <v>0</v>
      </c>
      <c r="BY179" s="22">
        <f t="shared" si="842"/>
        <v>55.45</v>
      </c>
      <c r="BZ179" s="22">
        <f t="shared" si="842"/>
        <v>0</v>
      </c>
      <c r="CA179" s="22">
        <f t="shared" si="842"/>
        <v>1008.7</v>
      </c>
      <c r="CB179" s="22">
        <f t="shared" si="842"/>
        <v>26.899999999999991</v>
      </c>
      <c r="CC179" s="22">
        <f t="shared" si="842"/>
        <v>1109.57</v>
      </c>
      <c r="CD179" s="118">
        <f t="shared" si="842"/>
        <v>30.94</v>
      </c>
      <c r="CE179" s="190">
        <f t="shared" si="842"/>
        <v>93</v>
      </c>
      <c r="CF179" s="190">
        <f t="shared" si="842"/>
        <v>3</v>
      </c>
      <c r="CG179" s="190">
        <f t="shared" si="842"/>
        <v>252.18</v>
      </c>
      <c r="CH179" s="190">
        <f t="shared" si="842"/>
        <v>6.73</v>
      </c>
      <c r="CI179" s="190">
        <f t="shared" si="842"/>
        <v>0</v>
      </c>
      <c r="CJ179" s="190">
        <f t="shared" si="842"/>
        <v>0</v>
      </c>
      <c r="CK179" s="190">
        <f t="shared" si="842"/>
        <v>264</v>
      </c>
      <c r="CL179" s="190">
        <f t="shared" si="842"/>
        <v>34</v>
      </c>
      <c r="CM179" s="190">
        <f t="shared" si="842"/>
        <v>0</v>
      </c>
      <c r="CN179" s="190">
        <f t="shared" si="842"/>
        <v>20</v>
      </c>
      <c r="CO179" s="190">
        <f t="shared" si="842"/>
        <v>1067.3</v>
      </c>
      <c r="CP179" s="190">
        <f t="shared" ref="CP179:DR179" si="843">+CP177+CP178</f>
        <v>57</v>
      </c>
      <c r="CQ179" s="190">
        <f t="shared" si="843"/>
        <v>1056</v>
      </c>
      <c r="CR179" s="190">
        <f t="shared" si="843"/>
        <v>136</v>
      </c>
      <c r="CS179" s="190">
        <f t="shared" si="843"/>
        <v>1056</v>
      </c>
      <c r="CT179" s="190">
        <f t="shared" si="843"/>
        <v>57</v>
      </c>
      <c r="CU179" s="190">
        <f t="shared" si="843"/>
        <v>1034.5</v>
      </c>
      <c r="CV179" s="190">
        <f t="shared" si="843"/>
        <v>350</v>
      </c>
      <c r="CW179" s="190">
        <f t="shared" si="843"/>
        <v>258.63</v>
      </c>
      <c r="CX179" s="190">
        <f t="shared" si="843"/>
        <v>234</v>
      </c>
      <c r="CY179" s="190">
        <f t="shared" si="843"/>
        <v>0</v>
      </c>
      <c r="CZ179" s="190">
        <f t="shared" si="843"/>
        <v>0</v>
      </c>
      <c r="DA179" s="190">
        <f t="shared" si="843"/>
        <v>615.63</v>
      </c>
      <c r="DB179" s="190">
        <f t="shared" si="843"/>
        <v>291</v>
      </c>
      <c r="DC179" s="190">
        <f t="shared" si="843"/>
        <v>602.24</v>
      </c>
      <c r="DD179" s="190">
        <f t="shared" si="843"/>
        <v>272.63</v>
      </c>
      <c r="DE179" s="190">
        <f t="shared" si="843"/>
        <v>13.389999999999986</v>
      </c>
      <c r="DF179" s="190">
        <f t="shared" si="843"/>
        <v>18.370000000000005</v>
      </c>
      <c r="DG179" s="190">
        <f t="shared" si="843"/>
        <v>258.63</v>
      </c>
      <c r="DH179" s="190">
        <f t="shared" si="843"/>
        <v>87.5</v>
      </c>
      <c r="DI179" s="190">
        <f t="shared" si="843"/>
        <v>245.24</v>
      </c>
      <c r="DJ179" s="190">
        <f t="shared" si="843"/>
        <v>49.129999999999995</v>
      </c>
      <c r="DK179" s="104">
        <f t="shared" si="839"/>
        <v>173.63</v>
      </c>
      <c r="DL179" s="104">
        <f t="shared" si="840"/>
        <v>59.870000000000005</v>
      </c>
      <c r="DM179" s="104">
        <f t="shared" si="663"/>
        <v>173.63</v>
      </c>
      <c r="DN179" s="104">
        <f t="shared" si="664"/>
        <v>9.8700000000000045</v>
      </c>
      <c r="DO179" s="22">
        <f t="shared" si="843"/>
        <v>1034.5</v>
      </c>
      <c r="DP179" s="22">
        <f t="shared" si="843"/>
        <v>400</v>
      </c>
      <c r="DQ179" s="22">
        <f t="shared" si="843"/>
        <v>1184.4000000000001</v>
      </c>
      <c r="DR179" s="22">
        <f t="shared" si="843"/>
        <v>100</v>
      </c>
    </row>
    <row r="180" spans="1:126" ht="18.75">
      <c r="A180" s="18">
        <v>36</v>
      </c>
      <c r="B180" s="18" t="s">
        <v>292</v>
      </c>
      <c r="C180" s="19" t="s">
        <v>293</v>
      </c>
      <c r="D180" s="7" t="s">
        <v>294</v>
      </c>
      <c r="E180" s="21" t="s">
        <v>295</v>
      </c>
      <c r="F180" s="81">
        <v>331.71</v>
      </c>
      <c r="G180" s="81">
        <v>52.210000000000008</v>
      </c>
      <c r="H180" s="81">
        <v>331.71</v>
      </c>
      <c r="I180" s="22">
        <v>52.210000000000008</v>
      </c>
      <c r="J180" s="106">
        <v>350</v>
      </c>
      <c r="K180" s="88"/>
      <c r="L180" s="88"/>
      <c r="M180" s="88">
        <f>+L180+K180+J180</f>
        <v>350</v>
      </c>
      <c r="N180" s="88"/>
      <c r="O180" s="88"/>
      <c r="P180" s="88"/>
      <c r="Q180" s="88">
        <f>+P180+O180+N180</f>
        <v>0</v>
      </c>
      <c r="R180" s="88">
        <f>+Q180+M180</f>
        <v>350</v>
      </c>
      <c r="S180" s="88">
        <v>50</v>
      </c>
      <c r="V180" s="22">
        <f t="shared" ref="V180:V181" si="844">ROUND(H180*1.0583,2)</f>
        <v>351.05</v>
      </c>
      <c r="W180" s="22">
        <f t="shared" ref="W180:W181" si="845">ROUND(I180*1.0327,2)</f>
        <v>53.92</v>
      </c>
      <c r="X180" s="22">
        <f t="shared" si="642"/>
        <v>-1.0500000000000114</v>
      </c>
      <c r="Y180" s="22">
        <f t="shared" si="643"/>
        <v>-3.9200000000000017</v>
      </c>
      <c r="Z180" s="22">
        <v>350</v>
      </c>
      <c r="AA180" s="22">
        <v>0</v>
      </c>
      <c r="AB180" s="22">
        <f t="shared" si="644"/>
        <v>350</v>
      </c>
      <c r="AC180" s="109">
        <f t="shared" si="645"/>
        <v>0</v>
      </c>
      <c r="AD180" s="22">
        <f t="shared" ref="AD180:AD181" si="846">IF(X180&gt;0,V180,R180)</f>
        <v>350</v>
      </c>
      <c r="AE180" s="22">
        <f>IF(Y180&gt;0,W180,S180)-33</f>
        <v>17</v>
      </c>
      <c r="AF180" s="22">
        <f t="shared" si="646"/>
        <v>45.11</v>
      </c>
      <c r="AG180" s="108">
        <f t="shared" si="647"/>
        <v>88</v>
      </c>
      <c r="AH180" s="108">
        <v>13</v>
      </c>
      <c r="AI180" s="127">
        <f t="shared" si="649"/>
        <v>29</v>
      </c>
      <c r="AJ180" s="108">
        <v>4</v>
      </c>
      <c r="AM180" s="108">
        <f t="shared" si="651"/>
        <v>87.5</v>
      </c>
      <c r="AN180" s="108">
        <f>ROUND(AE180*24.35%,2)-4.14</f>
        <v>0</v>
      </c>
      <c r="AP180" s="116"/>
      <c r="AQ180" s="116">
        <f t="shared" si="653"/>
        <v>175.5</v>
      </c>
      <c r="AR180" s="116">
        <f t="shared" si="654"/>
        <v>13</v>
      </c>
      <c r="AS180" s="116">
        <v>50</v>
      </c>
      <c r="AT180" s="116"/>
      <c r="AU180" s="116">
        <f t="shared" si="749"/>
        <v>87.5</v>
      </c>
      <c r="AV180" s="116">
        <v>0</v>
      </c>
      <c r="AW180" s="143">
        <v>25</v>
      </c>
      <c r="AY180" s="108">
        <f t="shared" si="633"/>
        <v>367</v>
      </c>
      <c r="AZ180" s="108">
        <f t="shared" si="634"/>
        <v>17</v>
      </c>
      <c r="BA180" s="108">
        <f t="shared" si="635"/>
        <v>384</v>
      </c>
      <c r="BB180" s="139">
        <v>347.45</v>
      </c>
      <c r="BC180" s="139">
        <v>5.09</v>
      </c>
      <c r="BD180" s="139">
        <f t="shared" si="636"/>
        <v>19.550000000000011</v>
      </c>
      <c r="BE180" s="139">
        <f t="shared" si="637"/>
        <v>11.91</v>
      </c>
      <c r="BF180" s="139">
        <f t="shared" si="638"/>
        <v>69.489999999999995</v>
      </c>
      <c r="BG180" s="139">
        <f t="shared" si="639"/>
        <v>1.02</v>
      </c>
      <c r="BH180" s="108">
        <v>23.84</v>
      </c>
      <c r="BI180" s="108">
        <v>0</v>
      </c>
      <c r="BL180" s="108">
        <f t="shared" si="662"/>
        <v>390.84</v>
      </c>
      <c r="BM180" s="108">
        <f t="shared" si="679"/>
        <v>17</v>
      </c>
      <c r="BN180" s="108">
        <f t="shared" si="680"/>
        <v>407.84</v>
      </c>
      <c r="BO180" s="108">
        <v>389.26</v>
      </c>
      <c r="BP180" s="127">
        <v>8.92</v>
      </c>
      <c r="BQ180" s="108">
        <f t="shared" si="681"/>
        <v>1.5799999999999841</v>
      </c>
      <c r="BR180" s="108">
        <f t="shared" si="682"/>
        <v>8.08</v>
      </c>
      <c r="BS180" s="108">
        <f t="shared" si="683"/>
        <v>35.39</v>
      </c>
      <c r="BT180" s="108">
        <f t="shared" si="684"/>
        <v>0.81</v>
      </c>
      <c r="BU180" s="108">
        <f t="shared" si="745"/>
        <v>33.810000000000016</v>
      </c>
      <c r="BV180" s="108">
        <v>0</v>
      </c>
      <c r="CA180" s="108">
        <v>424.65</v>
      </c>
      <c r="CB180" s="108">
        <v>17</v>
      </c>
      <c r="CC180">
        <v>467.12</v>
      </c>
      <c r="CD180">
        <v>19.55</v>
      </c>
      <c r="CE180" s="189">
        <v>39</v>
      </c>
      <c r="CF180" s="189">
        <v>2</v>
      </c>
      <c r="CG180" s="189">
        <f t="shared" si="685"/>
        <v>106.16</v>
      </c>
      <c r="CH180" s="189">
        <f t="shared" si="686"/>
        <v>4.25</v>
      </c>
      <c r="CI180" s="150"/>
      <c r="CJ180" s="150"/>
      <c r="CK180" s="150">
        <f>150-20</f>
        <v>130</v>
      </c>
      <c r="CL180" s="150">
        <v>1.5</v>
      </c>
      <c r="CM180" s="150"/>
      <c r="CN180" s="150"/>
      <c r="CO180" s="150">
        <v>450</v>
      </c>
      <c r="CP180" s="150">
        <v>10</v>
      </c>
      <c r="CQ180" s="150">
        <f t="shared" si="687"/>
        <v>520</v>
      </c>
      <c r="CR180" s="150">
        <f t="shared" si="688"/>
        <v>6</v>
      </c>
      <c r="CS180" s="150">
        <f t="shared" si="689"/>
        <v>450</v>
      </c>
      <c r="CT180" s="150">
        <f t="shared" si="690"/>
        <v>6</v>
      </c>
      <c r="CU180" s="150">
        <f t="shared" ref="CU180" si="847">IF(CQ180&lt;CS180,CQ180,CS180)</f>
        <v>450</v>
      </c>
      <c r="CV180" s="150">
        <f t="shared" ref="CV180" si="848">IF(CR180&lt;CT180,CR180,CT180)</f>
        <v>6</v>
      </c>
      <c r="CW180" s="150">
        <f t="shared" si="691"/>
        <v>112.5</v>
      </c>
      <c r="CX180" s="150">
        <f>ROUND(CV180*25%,2)-1.5</f>
        <v>0</v>
      </c>
      <c r="CY180" s="150"/>
      <c r="CZ180" s="150"/>
      <c r="DA180" s="150">
        <f t="shared" si="692"/>
        <v>281.5</v>
      </c>
      <c r="DB180" s="150">
        <f t="shared" si="693"/>
        <v>3.5</v>
      </c>
      <c r="DC180" s="150">
        <v>267.18</v>
      </c>
      <c r="DD180" s="150">
        <v>3.02</v>
      </c>
      <c r="DE180" s="150">
        <f t="shared" si="694"/>
        <v>14.319999999999993</v>
      </c>
      <c r="DF180" s="150">
        <f t="shared" si="695"/>
        <v>0.48</v>
      </c>
      <c r="DG180" s="150">
        <f t="shared" ref="DG180:DH183" si="849">ROUND(0.25*(MIN(CU180,DO180)),2)</f>
        <v>112.5</v>
      </c>
      <c r="DH180" s="150">
        <f t="shared" si="849"/>
        <v>1.5</v>
      </c>
      <c r="DI180" s="150">
        <f>+DG180-DE180</f>
        <v>98.18</v>
      </c>
      <c r="DJ180" s="150">
        <f>+DH180-DF180</f>
        <v>1.02</v>
      </c>
      <c r="DK180" s="104">
        <f t="shared" si="839"/>
        <v>118.29000000000002</v>
      </c>
      <c r="DL180" s="104">
        <f t="shared" si="840"/>
        <v>5.5</v>
      </c>
      <c r="DM180" s="104">
        <f t="shared" si="663"/>
        <v>70.319999999999993</v>
      </c>
      <c r="DN180" s="104">
        <f t="shared" si="664"/>
        <v>1.48</v>
      </c>
      <c r="DO180" s="104">
        <v>497.97</v>
      </c>
      <c r="DP180" s="104">
        <v>10.02</v>
      </c>
      <c r="DQ180" s="104">
        <v>550</v>
      </c>
      <c r="DR180" s="104">
        <v>14</v>
      </c>
    </row>
    <row r="181" spans="1:126" ht="18.75">
      <c r="A181" s="58">
        <v>37</v>
      </c>
      <c r="B181" s="43"/>
      <c r="C181" s="44"/>
      <c r="D181" s="15" t="s">
        <v>296</v>
      </c>
      <c r="E181" s="16"/>
      <c r="F181" s="81">
        <v>1235</v>
      </c>
      <c r="G181" s="81">
        <v>115.53</v>
      </c>
      <c r="H181" s="81">
        <v>1235</v>
      </c>
      <c r="I181" s="57">
        <v>115.53</v>
      </c>
      <c r="J181" s="86">
        <v>1475</v>
      </c>
      <c r="K181" s="89">
        <v>0</v>
      </c>
      <c r="L181" s="89">
        <v>0.5</v>
      </c>
      <c r="M181" s="87">
        <f t="shared" ref="M181:M183" si="850">J181+K181+L181</f>
        <v>1475.5</v>
      </c>
      <c r="N181" s="87">
        <v>0</v>
      </c>
      <c r="O181" s="87">
        <v>0</v>
      </c>
      <c r="P181" s="87">
        <v>0</v>
      </c>
      <c r="Q181" s="87">
        <f t="shared" ref="Q181:Q183" si="851">N181+O181+P181</f>
        <v>0</v>
      </c>
      <c r="R181" s="87">
        <f t="shared" ref="R181:R183" si="852">+Q181+M181</f>
        <v>1475.5</v>
      </c>
      <c r="S181" s="87">
        <v>80</v>
      </c>
      <c r="V181" s="57">
        <f t="shared" si="844"/>
        <v>1307</v>
      </c>
      <c r="W181" s="17">
        <f t="shared" si="845"/>
        <v>119.31</v>
      </c>
      <c r="X181" s="108">
        <f t="shared" si="642"/>
        <v>168.5</v>
      </c>
      <c r="Y181" s="108">
        <f t="shared" si="643"/>
        <v>-39.31</v>
      </c>
      <c r="Z181" s="108">
        <v>1307</v>
      </c>
      <c r="AA181" s="108"/>
      <c r="AB181" s="108">
        <f t="shared" si="644"/>
        <v>1307</v>
      </c>
      <c r="AC181" s="109">
        <f t="shared" si="645"/>
        <v>0</v>
      </c>
      <c r="AD181" s="108">
        <f t="shared" si="846"/>
        <v>1307</v>
      </c>
      <c r="AE181" s="108">
        <f t="shared" ref="AE181" si="853">IF(Y181&gt;0,W181,S181)</f>
        <v>80</v>
      </c>
      <c r="AF181" s="108">
        <f t="shared" si="646"/>
        <v>72.180000000000007</v>
      </c>
      <c r="AG181" s="108">
        <f t="shared" si="647"/>
        <v>327</v>
      </c>
      <c r="AH181" s="108">
        <f t="shared" si="648"/>
        <v>20</v>
      </c>
      <c r="AI181" s="127">
        <f t="shared" si="649"/>
        <v>109</v>
      </c>
      <c r="AJ181" s="108">
        <f t="shared" si="650"/>
        <v>7</v>
      </c>
      <c r="AM181" s="108">
        <f t="shared" si="651"/>
        <v>326.75</v>
      </c>
      <c r="AN181" s="108">
        <f t="shared" si="652"/>
        <v>19.48</v>
      </c>
      <c r="AP181" s="116"/>
      <c r="AQ181" s="116">
        <f>+AM181+AK181+AG181+AO181</f>
        <v>653.75</v>
      </c>
      <c r="AR181" s="116">
        <f t="shared" si="654"/>
        <v>39.480000000000004</v>
      </c>
      <c r="AS181" s="116">
        <v>140</v>
      </c>
      <c r="AT181" s="116">
        <v>10</v>
      </c>
      <c r="AU181" s="116">
        <f t="shared" si="749"/>
        <v>326.75</v>
      </c>
      <c r="AV181" s="116">
        <f t="shared" si="821"/>
        <v>20</v>
      </c>
      <c r="AW181" s="143">
        <v>90</v>
      </c>
      <c r="AY181" s="108">
        <f t="shared" si="633"/>
        <v>1319.5</v>
      </c>
      <c r="AZ181" s="108">
        <f t="shared" si="634"/>
        <v>76.48</v>
      </c>
      <c r="BA181" s="108">
        <f t="shared" si="635"/>
        <v>1395.98</v>
      </c>
      <c r="BB181" s="139">
        <v>1317.84</v>
      </c>
      <c r="BC181" s="139">
        <v>55.71</v>
      </c>
      <c r="BD181" s="139">
        <f t="shared" si="636"/>
        <v>1.6600000000000819</v>
      </c>
      <c r="BE181" s="139">
        <f t="shared" si="637"/>
        <v>20.770000000000003</v>
      </c>
      <c r="BF181" s="139">
        <f t="shared" si="638"/>
        <v>263.57</v>
      </c>
      <c r="BG181" s="139">
        <f t="shared" si="639"/>
        <v>11.14</v>
      </c>
      <c r="BH181" s="108">
        <v>119</v>
      </c>
      <c r="BI181" s="108">
        <v>0</v>
      </c>
      <c r="BL181" s="108">
        <f t="shared" si="662"/>
        <v>1438.5</v>
      </c>
      <c r="BM181" s="108">
        <f t="shared" si="679"/>
        <v>76.48</v>
      </c>
      <c r="BN181" s="108">
        <f t="shared" si="680"/>
        <v>1514.98</v>
      </c>
      <c r="BO181" s="108">
        <v>1455.97</v>
      </c>
      <c r="BP181" s="127">
        <v>56.43</v>
      </c>
      <c r="BQ181" s="108">
        <f t="shared" si="681"/>
        <v>-17.470000000000027</v>
      </c>
      <c r="BR181" s="108">
        <f t="shared" si="682"/>
        <v>20.050000000000004</v>
      </c>
      <c r="BS181" s="108">
        <f t="shared" si="683"/>
        <v>132.36000000000001</v>
      </c>
      <c r="BT181" s="108">
        <f t="shared" si="684"/>
        <v>5.13</v>
      </c>
      <c r="BU181" s="143">
        <f t="shared" si="745"/>
        <v>149.83000000000004</v>
      </c>
      <c r="BV181" s="143">
        <f>0+27.77</f>
        <v>27.77</v>
      </c>
      <c r="BW181" s="109">
        <v>8.67</v>
      </c>
      <c r="BX181" s="143"/>
      <c r="BY181" s="143"/>
      <c r="BZ181" s="143"/>
      <c r="CA181" s="108">
        <v>1597</v>
      </c>
      <c r="CB181" s="108">
        <v>104.25</v>
      </c>
      <c r="CC181">
        <v>1756.7</v>
      </c>
      <c r="CD181">
        <v>119.89</v>
      </c>
      <c r="CE181" s="189">
        <v>146</v>
      </c>
      <c r="CF181" s="189">
        <v>10</v>
      </c>
      <c r="CG181" s="189">
        <f t="shared" si="685"/>
        <v>399.25</v>
      </c>
      <c r="CH181" s="189">
        <f t="shared" si="686"/>
        <v>26.06</v>
      </c>
      <c r="CI181" s="150"/>
      <c r="CJ181" s="150"/>
      <c r="CK181" s="150">
        <v>440</v>
      </c>
      <c r="CL181" s="150">
        <v>5</v>
      </c>
      <c r="CM181" s="150"/>
      <c r="CN181" s="150"/>
      <c r="CO181" s="150">
        <v>1700</v>
      </c>
      <c r="CP181" s="150">
        <v>60</v>
      </c>
      <c r="CQ181" s="150">
        <f t="shared" si="687"/>
        <v>1760</v>
      </c>
      <c r="CR181" s="150">
        <f t="shared" si="688"/>
        <v>20</v>
      </c>
      <c r="CS181" s="150">
        <f t="shared" si="689"/>
        <v>1700</v>
      </c>
      <c r="CT181" s="150">
        <f t="shared" si="690"/>
        <v>20</v>
      </c>
      <c r="CU181" s="150">
        <v>1825</v>
      </c>
      <c r="CV181" s="150">
        <v>60</v>
      </c>
      <c r="CW181" s="150">
        <f t="shared" si="691"/>
        <v>456.25</v>
      </c>
      <c r="CX181" s="150">
        <v>45</v>
      </c>
      <c r="CY181" s="150"/>
      <c r="CZ181" s="150"/>
      <c r="DA181" s="150">
        <f t="shared" si="692"/>
        <v>1042.25</v>
      </c>
      <c r="DB181" s="150">
        <f t="shared" si="693"/>
        <v>60</v>
      </c>
      <c r="DC181" s="150">
        <v>1054.43</v>
      </c>
      <c r="DD181" s="150">
        <v>4.1399999999999997</v>
      </c>
      <c r="DE181" s="150">
        <f t="shared" si="694"/>
        <v>-12.180000000000064</v>
      </c>
      <c r="DF181" s="150">
        <f t="shared" si="695"/>
        <v>55.86</v>
      </c>
      <c r="DG181" s="150">
        <f t="shared" si="849"/>
        <v>450</v>
      </c>
      <c r="DH181" s="150">
        <f t="shared" si="849"/>
        <v>15</v>
      </c>
      <c r="DI181" s="150">
        <f>+DG181-DE181</f>
        <v>462.18000000000006</v>
      </c>
      <c r="DJ181" s="150">
        <f>+DH181-DF181+40.86</f>
        <v>0</v>
      </c>
      <c r="DK181" s="104">
        <f t="shared" si="839"/>
        <v>295.56999999999994</v>
      </c>
      <c r="DL181" s="104">
        <f t="shared" si="840"/>
        <v>0</v>
      </c>
      <c r="DM181" s="104">
        <f t="shared" si="663"/>
        <v>320.56999999999994</v>
      </c>
      <c r="DN181" s="104">
        <f t="shared" si="664"/>
        <v>0</v>
      </c>
      <c r="DO181" s="104">
        <v>1800</v>
      </c>
      <c r="DP181" s="104">
        <v>60</v>
      </c>
      <c r="DQ181" s="104">
        <v>1980</v>
      </c>
      <c r="DR181" s="104">
        <v>75</v>
      </c>
    </row>
    <row r="182" spans="1:126" ht="37.5">
      <c r="A182" s="13">
        <v>38</v>
      </c>
      <c r="B182" s="13"/>
      <c r="C182" s="14"/>
      <c r="D182" s="15" t="s">
        <v>297</v>
      </c>
      <c r="E182" s="16"/>
      <c r="F182" s="81">
        <v>345.74</v>
      </c>
      <c r="G182" s="81">
        <v>0</v>
      </c>
      <c r="H182" s="81">
        <v>345.74</v>
      </c>
      <c r="I182" s="17">
        <v>0</v>
      </c>
      <c r="J182" s="86">
        <v>420</v>
      </c>
      <c r="K182" s="89">
        <v>0</v>
      </c>
      <c r="L182" s="89">
        <v>0</v>
      </c>
      <c r="M182" s="87">
        <f t="shared" si="850"/>
        <v>420</v>
      </c>
      <c r="N182" s="87">
        <v>0</v>
      </c>
      <c r="O182" s="87">
        <v>0</v>
      </c>
      <c r="P182" s="87">
        <v>0</v>
      </c>
      <c r="Q182" s="87">
        <f t="shared" si="851"/>
        <v>0</v>
      </c>
      <c r="R182" s="87">
        <f t="shared" si="852"/>
        <v>420</v>
      </c>
      <c r="S182" s="87">
        <v>0</v>
      </c>
      <c r="V182" s="57">
        <f t="shared" ref="V182:V183" si="854">ROUND(H182*1.0583,2)</f>
        <v>365.9</v>
      </c>
      <c r="W182" s="17">
        <f t="shared" ref="W182:W183" si="855">ROUND(I182*1.0327,2)</f>
        <v>0</v>
      </c>
      <c r="X182" s="108">
        <f t="shared" si="642"/>
        <v>54.100000000000023</v>
      </c>
      <c r="Y182" s="108">
        <f t="shared" si="643"/>
        <v>0</v>
      </c>
      <c r="Z182" s="108">
        <v>365.9</v>
      </c>
      <c r="AA182" s="108"/>
      <c r="AB182" s="108">
        <f t="shared" si="644"/>
        <v>365.9</v>
      </c>
      <c r="AC182" s="109">
        <f t="shared" si="645"/>
        <v>0</v>
      </c>
      <c r="AD182" s="108">
        <f t="shared" ref="AD182:AD183" si="856">IF(X182&gt;0,V182,R182)</f>
        <v>365.9</v>
      </c>
      <c r="AE182" s="108">
        <f t="shared" ref="AE182:AE183" si="857">IF(Y182&gt;0,W182,S182)</f>
        <v>0</v>
      </c>
      <c r="AF182" s="108">
        <f t="shared" si="646"/>
        <v>0</v>
      </c>
      <c r="AG182" s="108">
        <f t="shared" si="647"/>
        <v>91</v>
      </c>
      <c r="AH182" s="108">
        <f t="shared" si="648"/>
        <v>0</v>
      </c>
      <c r="AI182" s="127">
        <f t="shared" si="649"/>
        <v>30</v>
      </c>
      <c r="AJ182" s="108">
        <f t="shared" si="650"/>
        <v>0</v>
      </c>
      <c r="AM182" s="108">
        <f t="shared" si="651"/>
        <v>91.48</v>
      </c>
      <c r="AN182" s="108">
        <f t="shared" si="652"/>
        <v>0</v>
      </c>
      <c r="AQ182" s="108">
        <f t="shared" si="653"/>
        <v>182.48000000000002</v>
      </c>
      <c r="AR182" s="108">
        <f t="shared" si="654"/>
        <v>0</v>
      </c>
      <c r="AU182" s="108">
        <f t="shared" si="749"/>
        <v>91.48</v>
      </c>
      <c r="AV182" s="108">
        <f t="shared" si="821"/>
        <v>0</v>
      </c>
      <c r="AY182" s="108">
        <f t="shared" si="633"/>
        <v>303.96000000000004</v>
      </c>
      <c r="AZ182" s="108">
        <f t="shared" si="634"/>
        <v>0</v>
      </c>
      <c r="BA182" s="108">
        <f t="shared" si="635"/>
        <v>303.96000000000004</v>
      </c>
      <c r="BB182" s="139">
        <v>303.95999999999998</v>
      </c>
      <c r="BD182" s="139">
        <f t="shared" si="636"/>
        <v>0</v>
      </c>
      <c r="BE182" s="139">
        <f t="shared" si="637"/>
        <v>0</v>
      </c>
      <c r="BF182" s="139">
        <f t="shared" si="638"/>
        <v>60.79</v>
      </c>
      <c r="BG182" s="139">
        <f t="shared" si="639"/>
        <v>0</v>
      </c>
      <c r="BH182" s="108">
        <v>30.4</v>
      </c>
      <c r="BI182" s="108">
        <v>0</v>
      </c>
      <c r="BL182" s="108">
        <f t="shared" si="662"/>
        <v>334.36</v>
      </c>
      <c r="BM182" s="108">
        <f t="shared" si="679"/>
        <v>0</v>
      </c>
      <c r="BN182" s="108">
        <f t="shared" si="680"/>
        <v>334.36</v>
      </c>
      <c r="BO182" s="108">
        <v>303.95999999999998</v>
      </c>
      <c r="BP182" s="127"/>
      <c r="BQ182" s="108">
        <f t="shared" si="681"/>
        <v>30.400000000000034</v>
      </c>
      <c r="BR182" s="108">
        <f t="shared" si="682"/>
        <v>0</v>
      </c>
      <c r="BS182" s="108">
        <f t="shared" si="683"/>
        <v>27.63</v>
      </c>
      <c r="BT182" s="108">
        <f t="shared" si="684"/>
        <v>0</v>
      </c>
      <c r="BU182" s="143">
        <v>30</v>
      </c>
      <c r="BV182" s="108">
        <v>0</v>
      </c>
      <c r="BW182" s="109">
        <v>1.54</v>
      </c>
      <c r="CA182" s="108">
        <v>365.90000000000003</v>
      </c>
      <c r="CB182" s="108">
        <v>0</v>
      </c>
      <c r="CC182">
        <v>402.49</v>
      </c>
      <c r="CD182">
        <v>0</v>
      </c>
      <c r="CE182" s="189">
        <v>34</v>
      </c>
      <c r="CF182" s="189">
        <v>0</v>
      </c>
      <c r="CG182" s="189">
        <f t="shared" si="685"/>
        <v>91.48</v>
      </c>
      <c r="CH182" s="189">
        <f t="shared" si="686"/>
        <v>0</v>
      </c>
      <c r="CI182" s="150"/>
      <c r="CJ182" s="150"/>
      <c r="CK182" s="150">
        <v>106.25</v>
      </c>
      <c r="CL182" s="150"/>
      <c r="CM182" s="150"/>
      <c r="CN182" s="150"/>
      <c r="CO182" s="150">
        <v>425</v>
      </c>
      <c r="CP182" s="150"/>
      <c r="CQ182" s="150">
        <f t="shared" si="687"/>
        <v>425</v>
      </c>
      <c r="CR182" s="150">
        <f t="shared" si="688"/>
        <v>0</v>
      </c>
      <c r="CS182" s="150">
        <f t="shared" si="689"/>
        <v>425</v>
      </c>
      <c r="CT182" s="150">
        <f t="shared" si="690"/>
        <v>0</v>
      </c>
      <c r="CU182" s="150">
        <f t="shared" ref="CU182:CU183" si="858">IF(CQ182&lt;CS182,CQ182,CS182)</f>
        <v>425</v>
      </c>
      <c r="CV182" s="150">
        <f t="shared" ref="CV182:CV183" si="859">IF(CR182&lt;CT182,CR182,CT182)</f>
        <v>0</v>
      </c>
      <c r="CW182" s="150">
        <f t="shared" si="691"/>
        <v>106.25</v>
      </c>
      <c r="CX182" s="150">
        <f t="shared" si="691"/>
        <v>0</v>
      </c>
      <c r="CY182" s="150"/>
      <c r="CZ182" s="150"/>
      <c r="DA182" s="150">
        <f t="shared" si="692"/>
        <v>246.5</v>
      </c>
      <c r="DB182" s="150">
        <f t="shared" si="693"/>
        <v>0</v>
      </c>
      <c r="DC182" s="150">
        <v>183.11</v>
      </c>
      <c r="DD182" s="150">
        <v>0</v>
      </c>
      <c r="DE182" s="150">
        <f t="shared" si="694"/>
        <v>63.389999999999986</v>
      </c>
      <c r="DF182" s="150">
        <f t="shared" si="695"/>
        <v>0</v>
      </c>
      <c r="DG182" s="150">
        <f t="shared" si="849"/>
        <v>106.25</v>
      </c>
      <c r="DH182" s="150">
        <f t="shared" si="849"/>
        <v>0</v>
      </c>
      <c r="DI182" s="150">
        <f>+DG182-DE182</f>
        <v>42.860000000000014</v>
      </c>
      <c r="DJ182" s="150">
        <f>+DH182-DF182</f>
        <v>0</v>
      </c>
      <c r="DK182" s="104">
        <f t="shared" si="839"/>
        <v>135.63999999999999</v>
      </c>
      <c r="DL182" s="104">
        <f t="shared" si="840"/>
        <v>0</v>
      </c>
      <c r="DM182" s="104">
        <f t="shared" si="663"/>
        <v>135.63999999999999</v>
      </c>
      <c r="DN182" s="104">
        <f t="shared" si="664"/>
        <v>0</v>
      </c>
      <c r="DO182" s="104">
        <v>425</v>
      </c>
      <c r="DQ182" s="104">
        <v>470</v>
      </c>
    </row>
    <row r="183" spans="1:126" ht="37.5">
      <c r="A183" s="13">
        <v>39</v>
      </c>
      <c r="B183" s="13"/>
      <c r="C183" s="14"/>
      <c r="D183" s="15" t="s">
        <v>298</v>
      </c>
      <c r="E183" s="16"/>
      <c r="F183" s="81">
        <v>0</v>
      </c>
      <c r="G183" s="81">
        <v>0</v>
      </c>
      <c r="H183" s="81">
        <v>0</v>
      </c>
      <c r="I183" s="17">
        <v>0</v>
      </c>
      <c r="J183" s="86">
        <v>0</v>
      </c>
      <c r="K183" s="89">
        <v>0</v>
      </c>
      <c r="L183" s="89">
        <v>0</v>
      </c>
      <c r="M183" s="87">
        <f t="shared" si="850"/>
        <v>0</v>
      </c>
      <c r="N183" s="87">
        <v>0</v>
      </c>
      <c r="O183" s="87">
        <v>0</v>
      </c>
      <c r="P183" s="87">
        <v>0</v>
      </c>
      <c r="Q183" s="87">
        <f t="shared" si="851"/>
        <v>0</v>
      </c>
      <c r="R183" s="87">
        <f t="shared" si="852"/>
        <v>0</v>
      </c>
      <c r="S183" s="87">
        <v>0</v>
      </c>
      <c r="V183" s="57">
        <f t="shared" si="854"/>
        <v>0</v>
      </c>
      <c r="W183" s="17">
        <f t="shared" si="855"/>
        <v>0</v>
      </c>
      <c r="X183" s="108">
        <f t="shared" si="642"/>
        <v>0</v>
      </c>
      <c r="Y183" s="108">
        <f t="shared" si="643"/>
        <v>0</v>
      </c>
      <c r="Z183" s="108">
        <v>0</v>
      </c>
      <c r="AA183" s="108"/>
      <c r="AB183" s="108">
        <f t="shared" si="644"/>
        <v>0</v>
      </c>
      <c r="AC183" s="109">
        <f t="shared" si="645"/>
        <v>0</v>
      </c>
      <c r="AD183" s="108">
        <f t="shared" si="856"/>
        <v>0</v>
      </c>
      <c r="AE183" s="108">
        <f t="shared" si="857"/>
        <v>0</v>
      </c>
      <c r="AF183" s="108">
        <f t="shared" si="646"/>
        <v>0</v>
      </c>
      <c r="AG183" s="108">
        <f t="shared" si="647"/>
        <v>0</v>
      </c>
      <c r="AH183" s="108">
        <f t="shared" si="648"/>
        <v>0</v>
      </c>
      <c r="AI183" s="127">
        <f t="shared" si="649"/>
        <v>0</v>
      </c>
      <c r="AJ183" s="108">
        <f t="shared" si="650"/>
        <v>0</v>
      </c>
      <c r="AM183" s="108">
        <f t="shared" si="651"/>
        <v>0</v>
      </c>
      <c r="AN183" s="108">
        <f t="shared" si="652"/>
        <v>0</v>
      </c>
      <c r="AQ183" s="108">
        <f t="shared" si="653"/>
        <v>0</v>
      </c>
      <c r="AR183" s="108">
        <f t="shared" si="654"/>
        <v>0</v>
      </c>
      <c r="AU183" s="108">
        <f t="shared" si="749"/>
        <v>0</v>
      </c>
      <c r="AV183" s="108">
        <f t="shared" si="821"/>
        <v>0</v>
      </c>
      <c r="AY183" s="108">
        <f t="shared" si="633"/>
        <v>0</v>
      </c>
      <c r="AZ183" s="108">
        <f t="shared" si="634"/>
        <v>0</v>
      </c>
      <c r="BA183" s="108">
        <f t="shared" si="635"/>
        <v>0</v>
      </c>
      <c r="BB183" s="139">
        <v>0</v>
      </c>
      <c r="BD183" s="139">
        <f t="shared" si="636"/>
        <v>0</v>
      </c>
      <c r="BE183" s="139">
        <f t="shared" si="637"/>
        <v>0</v>
      </c>
      <c r="BF183" s="139">
        <f t="shared" si="638"/>
        <v>0</v>
      </c>
      <c r="BG183" s="139">
        <f t="shared" si="639"/>
        <v>0</v>
      </c>
      <c r="BH183" s="108">
        <v>0</v>
      </c>
      <c r="BI183" s="108">
        <v>0</v>
      </c>
      <c r="BL183" s="108">
        <f t="shared" si="662"/>
        <v>0</v>
      </c>
      <c r="BM183" s="108">
        <f t="shared" si="679"/>
        <v>0</v>
      </c>
      <c r="BN183" s="108">
        <f t="shared" si="680"/>
        <v>0</v>
      </c>
      <c r="BO183" s="108">
        <v>0</v>
      </c>
      <c r="BP183" s="127"/>
      <c r="BQ183" s="108">
        <f t="shared" si="681"/>
        <v>0</v>
      </c>
      <c r="BR183" s="108">
        <f t="shared" si="682"/>
        <v>0</v>
      </c>
      <c r="BS183" s="108">
        <f t="shared" si="683"/>
        <v>0</v>
      </c>
      <c r="BT183" s="108">
        <f t="shared" si="684"/>
        <v>0</v>
      </c>
      <c r="BU183" s="143">
        <f t="shared" si="745"/>
        <v>0</v>
      </c>
      <c r="BV183" s="108">
        <v>0</v>
      </c>
      <c r="CA183" s="108">
        <v>0</v>
      </c>
      <c r="CB183" s="108">
        <v>0</v>
      </c>
      <c r="CC183">
        <v>0</v>
      </c>
      <c r="CD183">
        <v>0</v>
      </c>
      <c r="CE183" s="189">
        <v>0</v>
      </c>
      <c r="CF183" s="189">
        <v>0</v>
      </c>
      <c r="CG183" s="189">
        <f t="shared" si="685"/>
        <v>0</v>
      </c>
      <c r="CH183" s="189">
        <f t="shared" si="686"/>
        <v>0</v>
      </c>
      <c r="CI183" s="150"/>
      <c r="CJ183" s="150"/>
      <c r="CK183" s="150">
        <v>0</v>
      </c>
      <c r="CL183" s="150">
        <v>0</v>
      </c>
      <c r="CM183" s="150"/>
      <c r="CN183" s="150"/>
      <c r="CO183" s="150"/>
      <c r="CP183" s="150"/>
      <c r="CQ183" s="150">
        <f t="shared" si="687"/>
        <v>0</v>
      </c>
      <c r="CR183" s="150">
        <f t="shared" si="688"/>
        <v>0</v>
      </c>
      <c r="CS183" s="150">
        <f t="shared" si="689"/>
        <v>0</v>
      </c>
      <c r="CT183" s="150">
        <f t="shared" si="690"/>
        <v>0</v>
      </c>
      <c r="CU183" s="150">
        <f t="shared" si="858"/>
        <v>0</v>
      </c>
      <c r="CV183" s="150">
        <f t="shared" si="859"/>
        <v>0</v>
      </c>
      <c r="CW183" s="150">
        <f t="shared" si="691"/>
        <v>0</v>
      </c>
      <c r="CX183" s="150">
        <f t="shared" si="691"/>
        <v>0</v>
      </c>
      <c r="CY183" s="150"/>
      <c r="CZ183" s="150"/>
      <c r="DA183" s="150">
        <f t="shared" si="692"/>
        <v>0</v>
      </c>
      <c r="DB183" s="150">
        <f t="shared" si="693"/>
        <v>0</v>
      </c>
      <c r="DC183" s="150">
        <v>0</v>
      </c>
      <c r="DD183" s="150">
        <v>0</v>
      </c>
      <c r="DE183" s="150">
        <f t="shared" si="694"/>
        <v>0</v>
      </c>
      <c r="DF183" s="150">
        <f t="shared" si="695"/>
        <v>0</v>
      </c>
      <c r="DG183" s="150">
        <f t="shared" si="849"/>
        <v>0</v>
      </c>
      <c r="DH183" s="150">
        <f t="shared" si="849"/>
        <v>0</v>
      </c>
      <c r="DI183" s="150">
        <f>+DG183-DE183</f>
        <v>0</v>
      </c>
      <c r="DJ183" s="150">
        <f>+DH183-DF183</f>
        <v>0</v>
      </c>
      <c r="DK183" s="104">
        <f t="shared" si="839"/>
        <v>0</v>
      </c>
      <c r="DL183" s="104">
        <f t="shared" si="840"/>
        <v>0</v>
      </c>
      <c r="DM183" s="104">
        <f t="shared" si="663"/>
        <v>0</v>
      </c>
      <c r="DN183" s="104">
        <f t="shared" si="664"/>
        <v>0</v>
      </c>
      <c r="DO183" s="104">
        <v>0</v>
      </c>
      <c r="DP183" s="104">
        <v>0</v>
      </c>
      <c r="DQ183" s="104">
        <v>0</v>
      </c>
      <c r="DR183" s="104">
        <v>0</v>
      </c>
    </row>
    <row r="184" spans="1:126" ht="18.75">
      <c r="A184" s="18"/>
      <c r="B184" s="18" t="s">
        <v>299</v>
      </c>
      <c r="C184" s="19" t="s">
        <v>89</v>
      </c>
      <c r="D184" s="20" t="s">
        <v>296</v>
      </c>
      <c r="E184" s="21" t="s">
        <v>300</v>
      </c>
      <c r="F184" s="22">
        <v>1580.74</v>
      </c>
      <c r="G184" s="22">
        <v>115.53</v>
      </c>
      <c r="H184" s="22">
        <v>1580.74</v>
      </c>
      <c r="I184" s="22">
        <v>115.53</v>
      </c>
      <c r="J184" s="88">
        <f t="shared" ref="J184:AA184" si="860">+J181+J182+J183</f>
        <v>1895</v>
      </c>
      <c r="K184" s="88">
        <f t="shared" si="860"/>
        <v>0</v>
      </c>
      <c r="L184" s="88">
        <f t="shared" si="860"/>
        <v>0.5</v>
      </c>
      <c r="M184" s="88">
        <f t="shared" si="860"/>
        <v>1895.5</v>
      </c>
      <c r="N184" s="88">
        <f t="shared" si="860"/>
        <v>0</v>
      </c>
      <c r="O184" s="88">
        <f t="shared" si="860"/>
        <v>0</v>
      </c>
      <c r="P184" s="88">
        <f t="shared" si="860"/>
        <v>0</v>
      </c>
      <c r="Q184" s="88">
        <f t="shared" si="860"/>
        <v>0</v>
      </c>
      <c r="R184" s="88">
        <f t="shared" si="860"/>
        <v>1895.5</v>
      </c>
      <c r="S184" s="88">
        <f t="shared" si="860"/>
        <v>80</v>
      </c>
      <c r="T184" s="88">
        <f t="shared" si="860"/>
        <v>0</v>
      </c>
      <c r="U184" s="88">
        <f t="shared" si="860"/>
        <v>0</v>
      </c>
      <c r="V184" s="88">
        <f t="shared" si="860"/>
        <v>1672.9</v>
      </c>
      <c r="W184" s="88">
        <f t="shared" si="860"/>
        <v>119.31</v>
      </c>
      <c r="X184" s="88">
        <f t="shared" si="860"/>
        <v>222.60000000000002</v>
      </c>
      <c r="Y184" s="88">
        <f t="shared" si="860"/>
        <v>-39.31</v>
      </c>
      <c r="Z184" s="88">
        <f t="shared" si="860"/>
        <v>1672.9</v>
      </c>
      <c r="AA184" s="88">
        <f t="shared" si="860"/>
        <v>0</v>
      </c>
      <c r="AB184" s="22">
        <f t="shared" si="644"/>
        <v>1672.9</v>
      </c>
      <c r="AC184" s="109">
        <f t="shared" si="645"/>
        <v>0</v>
      </c>
      <c r="AD184" s="22">
        <f t="shared" ref="AD184:CO184" si="861">+AD181+AD182+AD183</f>
        <v>1672.9</v>
      </c>
      <c r="AE184" s="22">
        <f t="shared" si="861"/>
        <v>80</v>
      </c>
      <c r="AF184" s="22">
        <f t="shared" si="861"/>
        <v>72.180000000000007</v>
      </c>
      <c r="AG184" s="22">
        <f t="shared" si="861"/>
        <v>418</v>
      </c>
      <c r="AH184" s="22">
        <f t="shared" si="861"/>
        <v>20</v>
      </c>
      <c r="AI184" s="118">
        <f t="shared" si="861"/>
        <v>139</v>
      </c>
      <c r="AJ184" s="22">
        <f t="shared" si="861"/>
        <v>7</v>
      </c>
      <c r="AK184" s="22">
        <f t="shared" si="861"/>
        <v>0</v>
      </c>
      <c r="AL184" s="22">
        <f t="shared" si="861"/>
        <v>0</v>
      </c>
      <c r="AM184" s="22">
        <f t="shared" si="861"/>
        <v>418.23</v>
      </c>
      <c r="AN184" s="22">
        <f t="shared" si="861"/>
        <v>19.48</v>
      </c>
      <c r="AO184" s="22">
        <f t="shared" si="861"/>
        <v>0</v>
      </c>
      <c r="AP184" s="22">
        <f t="shared" si="861"/>
        <v>0</v>
      </c>
      <c r="AQ184" s="22">
        <f t="shared" si="861"/>
        <v>836.23</v>
      </c>
      <c r="AR184" s="22">
        <f t="shared" si="861"/>
        <v>39.480000000000004</v>
      </c>
      <c r="AS184" s="22">
        <f t="shared" si="861"/>
        <v>140</v>
      </c>
      <c r="AT184" s="22">
        <f t="shared" si="861"/>
        <v>10</v>
      </c>
      <c r="AU184" s="22">
        <f t="shared" si="861"/>
        <v>418.23</v>
      </c>
      <c r="AV184" s="22">
        <f t="shared" si="861"/>
        <v>20</v>
      </c>
      <c r="AW184" s="22">
        <f t="shared" si="861"/>
        <v>90</v>
      </c>
      <c r="AX184" s="22">
        <f t="shared" si="861"/>
        <v>0</v>
      </c>
      <c r="AY184" s="22">
        <f t="shared" si="861"/>
        <v>1623.46</v>
      </c>
      <c r="AZ184" s="22">
        <f t="shared" si="861"/>
        <v>76.48</v>
      </c>
      <c r="BA184" s="22">
        <f t="shared" si="861"/>
        <v>1699.94</v>
      </c>
      <c r="BB184" s="22">
        <f t="shared" si="861"/>
        <v>1621.8</v>
      </c>
      <c r="BC184" s="22">
        <f t="shared" si="861"/>
        <v>55.71</v>
      </c>
      <c r="BD184" s="22">
        <f t="shared" si="861"/>
        <v>1.6600000000000819</v>
      </c>
      <c r="BE184" s="22">
        <f t="shared" si="861"/>
        <v>20.770000000000003</v>
      </c>
      <c r="BF184" s="22">
        <f t="shared" si="861"/>
        <v>324.36</v>
      </c>
      <c r="BG184" s="118">
        <f t="shared" si="861"/>
        <v>11.14</v>
      </c>
      <c r="BH184" s="118">
        <f t="shared" si="861"/>
        <v>149.4</v>
      </c>
      <c r="BI184" s="118">
        <f t="shared" si="861"/>
        <v>0</v>
      </c>
      <c r="BJ184" s="118">
        <f t="shared" si="861"/>
        <v>0</v>
      </c>
      <c r="BK184" s="118">
        <f t="shared" si="861"/>
        <v>0</v>
      </c>
      <c r="BL184" s="118">
        <f t="shared" si="861"/>
        <v>1772.8600000000001</v>
      </c>
      <c r="BM184" s="118">
        <f t="shared" si="861"/>
        <v>76.48</v>
      </c>
      <c r="BN184" s="118">
        <f t="shared" si="861"/>
        <v>1849.3400000000001</v>
      </c>
      <c r="BO184" s="118">
        <f t="shared" si="861"/>
        <v>1759.93</v>
      </c>
      <c r="BP184" s="118">
        <f t="shared" si="861"/>
        <v>56.43</v>
      </c>
      <c r="BQ184" s="22">
        <f t="shared" si="861"/>
        <v>12.930000000000007</v>
      </c>
      <c r="BR184" s="22">
        <f t="shared" si="861"/>
        <v>20.050000000000004</v>
      </c>
      <c r="BS184" s="22">
        <f t="shared" si="861"/>
        <v>159.99</v>
      </c>
      <c r="BT184" s="22">
        <f t="shared" si="861"/>
        <v>5.13</v>
      </c>
      <c r="BU184" s="22">
        <f t="shared" si="861"/>
        <v>179.83000000000004</v>
      </c>
      <c r="BV184" s="22">
        <f t="shared" si="861"/>
        <v>27.77</v>
      </c>
      <c r="BW184" s="22">
        <f t="shared" si="861"/>
        <v>10.210000000000001</v>
      </c>
      <c r="BX184" s="22">
        <f t="shared" si="861"/>
        <v>0</v>
      </c>
      <c r="BY184" s="22">
        <f t="shared" si="861"/>
        <v>0</v>
      </c>
      <c r="BZ184" s="22">
        <f t="shared" si="861"/>
        <v>0</v>
      </c>
      <c r="CA184" s="22">
        <f t="shared" si="861"/>
        <v>1962.9</v>
      </c>
      <c r="CB184" s="22">
        <f t="shared" si="861"/>
        <v>104.25</v>
      </c>
      <c r="CC184" s="22">
        <f t="shared" si="861"/>
        <v>2159.19</v>
      </c>
      <c r="CD184" s="118">
        <f t="shared" si="861"/>
        <v>119.89</v>
      </c>
      <c r="CE184" s="190">
        <f t="shared" si="861"/>
        <v>180</v>
      </c>
      <c r="CF184" s="190">
        <f t="shared" si="861"/>
        <v>10</v>
      </c>
      <c r="CG184" s="190">
        <f t="shared" si="861"/>
        <v>490.73</v>
      </c>
      <c r="CH184" s="190">
        <f t="shared" si="861"/>
        <v>26.06</v>
      </c>
      <c r="CI184" s="190">
        <f t="shared" si="861"/>
        <v>0</v>
      </c>
      <c r="CJ184" s="190">
        <f t="shared" si="861"/>
        <v>0</v>
      </c>
      <c r="CK184" s="190">
        <f t="shared" si="861"/>
        <v>546.25</v>
      </c>
      <c r="CL184" s="190">
        <f t="shared" si="861"/>
        <v>5</v>
      </c>
      <c r="CM184" s="190">
        <f t="shared" si="861"/>
        <v>0</v>
      </c>
      <c r="CN184" s="190">
        <f t="shared" si="861"/>
        <v>0</v>
      </c>
      <c r="CO184" s="190">
        <f t="shared" si="861"/>
        <v>2125</v>
      </c>
      <c r="CP184" s="190">
        <f t="shared" ref="CP184:DT184" si="862">+CP181+CP182+CP183</f>
        <v>60</v>
      </c>
      <c r="CQ184" s="190">
        <f t="shared" si="862"/>
        <v>2185</v>
      </c>
      <c r="CR184" s="190">
        <f t="shared" si="862"/>
        <v>20</v>
      </c>
      <c r="CS184" s="190">
        <f t="shared" si="862"/>
        <v>2125</v>
      </c>
      <c r="CT184" s="190">
        <f t="shared" si="862"/>
        <v>20</v>
      </c>
      <c r="CU184" s="190">
        <f t="shared" si="862"/>
        <v>2250</v>
      </c>
      <c r="CV184" s="190">
        <f t="shared" si="862"/>
        <v>60</v>
      </c>
      <c r="CW184" s="190">
        <f t="shared" si="862"/>
        <v>562.5</v>
      </c>
      <c r="CX184" s="190">
        <f t="shared" si="862"/>
        <v>45</v>
      </c>
      <c r="CY184" s="190">
        <f t="shared" si="862"/>
        <v>0</v>
      </c>
      <c r="CZ184" s="190">
        <f t="shared" si="862"/>
        <v>0</v>
      </c>
      <c r="DA184" s="190">
        <f t="shared" si="862"/>
        <v>1288.75</v>
      </c>
      <c r="DB184" s="190">
        <f t="shared" si="862"/>
        <v>60</v>
      </c>
      <c r="DC184" s="190">
        <f t="shared" si="862"/>
        <v>1237.54</v>
      </c>
      <c r="DD184" s="190">
        <f t="shared" si="862"/>
        <v>4.1399999999999997</v>
      </c>
      <c r="DE184" s="190">
        <f t="shared" si="862"/>
        <v>51.209999999999923</v>
      </c>
      <c r="DF184" s="190">
        <f t="shared" si="862"/>
        <v>55.86</v>
      </c>
      <c r="DG184" s="190">
        <f t="shared" si="862"/>
        <v>556.25</v>
      </c>
      <c r="DH184" s="190">
        <f t="shared" si="862"/>
        <v>15</v>
      </c>
      <c r="DI184" s="190">
        <f t="shared" si="862"/>
        <v>505.04000000000008</v>
      </c>
      <c r="DJ184" s="190">
        <f t="shared" si="862"/>
        <v>0</v>
      </c>
      <c r="DK184" s="104">
        <f t="shared" si="839"/>
        <v>431.20999999999992</v>
      </c>
      <c r="DL184" s="104">
        <f t="shared" si="840"/>
        <v>0</v>
      </c>
      <c r="DM184" s="104">
        <f t="shared" si="663"/>
        <v>456.20999999999992</v>
      </c>
      <c r="DN184" s="104">
        <f t="shared" si="664"/>
        <v>0</v>
      </c>
      <c r="DO184" s="22">
        <f t="shared" si="862"/>
        <v>2225</v>
      </c>
      <c r="DP184" s="22">
        <f t="shared" si="862"/>
        <v>60</v>
      </c>
      <c r="DQ184" s="22">
        <f t="shared" si="862"/>
        <v>2450</v>
      </c>
      <c r="DR184" s="22">
        <f t="shared" si="862"/>
        <v>75</v>
      </c>
      <c r="DS184" s="22">
        <f t="shared" si="862"/>
        <v>0</v>
      </c>
      <c r="DT184" s="22">
        <f t="shared" si="862"/>
        <v>0</v>
      </c>
    </row>
    <row r="185" spans="1:126" ht="37.5">
      <c r="A185" s="45"/>
      <c r="B185" s="45"/>
      <c r="C185" s="46"/>
      <c r="D185" s="47" t="s">
        <v>301</v>
      </c>
      <c r="E185" s="48" t="s">
        <v>302</v>
      </c>
      <c r="F185" s="49">
        <v>41835.589999999997</v>
      </c>
      <c r="G185" s="49">
        <v>29190.81</v>
      </c>
      <c r="H185" s="49">
        <v>41642.94</v>
      </c>
      <c r="I185" s="49">
        <v>29221.510000000002</v>
      </c>
      <c r="J185" s="92">
        <f t="shared" ref="J185:AA185" si="863">+J184+J180+J179+J176+J175+J174+J170+J169+J168+J165+J164+J160+J161+J157+J156+J146+J142+J139+J136</f>
        <v>44384.95</v>
      </c>
      <c r="K185" s="92">
        <f t="shared" si="863"/>
        <v>1020</v>
      </c>
      <c r="L185" s="92">
        <f t="shared" si="863"/>
        <v>1</v>
      </c>
      <c r="M185" s="92">
        <f t="shared" si="863"/>
        <v>45405.95</v>
      </c>
      <c r="N185" s="92">
        <f t="shared" si="863"/>
        <v>1585</v>
      </c>
      <c r="O185" s="92">
        <f t="shared" si="863"/>
        <v>50</v>
      </c>
      <c r="P185" s="92">
        <f t="shared" si="863"/>
        <v>0</v>
      </c>
      <c r="Q185" s="92">
        <f t="shared" si="863"/>
        <v>1635</v>
      </c>
      <c r="R185" s="92">
        <f t="shared" si="863"/>
        <v>47040.95</v>
      </c>
      <c r="S185" s="92">
        <f t="shared" si="863"/>
        <v>34307</v>
      </c>
      <c r="T185" s="92">
        <f t="shared" si="863"/>
        <v>0</v>
      </c>
      <c r="U185" s="92">
        <f t="shared" si="863"/>
        <v>0</v>
      </c>
      <c r="V185" s="92">
        <f t="shared" si="863"/>
        <v>44070.75</v>
      </c>
      <c r="W185" s="92">
        <f t="shared" si="863"/>
        <v>30177.040000000001</v>
      </c>
      <c r="X185" s="92">
        <f t="shared" si="863"/>
        <v>2970.2000000000003</v>
      </c>
      <c r="Y185" s="92">
        <f t="shared" si="863"/>
        <v>4129.96</v>
      </c>
      <c r="Z185" s="92">
        <f t="shared" si="863"/>
        <v>41992.08</v>
      </c>
      <c r="AA185" s="92">
        <f t="shared" si="863"/>
        <v>1533.3899999999999</v>
      </c>
      <c r="AB185" s="49">
        <f t="shared" si="644"/>
        <v>43525.47</v>
      </c>
      <c r="AC185" s="109">
        <f t="shared" si="645"/>
        <v>0</v>
      </c>
      <c r="AD185" s="49">
        <f t="shared" ref="AD185:CO185" si="864">+AD184+AD180+AD179+AD176+AD175+AD174+AD170+AD169+AD168+AD165+AD164+AD160+AD161+AD157+AD156+AD146+AD142+AD139+AD136</f>
        <v>43525.47</v>
      </c>
      <c r="AE185" s="49">
        <f t="shared" si="864"/>
        <v>29584.620000000003</v>
      </c>
      <c r="AF185" s="49">
        <f t="shared" si="864"/>
        <v>30951.790000000008</v>
      </c>
      <c r="AG185" s="49">
        <f t="shared" si="864"/>
        <v>10882</v>
      </c>
      <c r="AH185" s="49">
        <f t="shared" si="864"/>
        <v>7407</v>
      </c>
      <c r="AI185" s="49">
        <f t="shared" si="864"/>
        <v>3628</v>
      </c>
      <c r="AJ185" s="49">
        <f t="shared" si="864"/>
        <v>2456</v>
      </c>
      <c r="AK185" s="49">
        <f t="shared" si="864"/>
        <v>36</v>
      </c>
      <c r="AL185" s="49">
        <f t="shared" si="864"/>
        <v>92.82</v>
      </c>
      <c r="AM185" s="49">
        <f t="shared" si="864"/>
        <v>10952.300000000001</v>
      </c>
      <c r="AN185" s="49">
        <f t="shared" si="864"/>
        <v>7204.3499999999995</v>
      </c>
      <c r="AO185" s="49">
        <f t="shared" si="864"/>
        <v>0</v>
      </c>
      <c r="AP185" s="49">
        <f t="shared" si="864"/>
        <v>0</v>
      </c>
      <c r="AQ185" s="49">
        <f t="shared" si="864"/>
        <v>21870.3</v>
      </c>
      <c r="AR185" s="49">
        <f t="shared" si="864"/>
        <v>14704.169999999998</v>
      </c>
      <c r="AS185" s="49">
        <f t="shared" si="864"/>
        <v>225</v>
      </c>
      <c r="AT185" s="49">
        <f t="shared" si="864"/>
        <v>10</v>
      </c>
      <c r="AU185" s="49">
        <f t="shared" si="864"/>
        <v>10801.85</v>
      </c>
      <c r="AV185" s="49">
        <f t="shared" si="864"/>
        <v>7316.9400000000005</v>
      </c>
      <c r="AW185" s="49">
        <f t="shared" si="864"/>
        <v>310.13</v>
      </c>
      <c r="AX185" s="49">
        <f t="shared" si="864"/>
        <v>1184.95</v>
      </c>
      <c r="AY185" s="49">
        <f t="shared" si="864"/>
        <v>36835.279999999999</v>
      </c>
      <c r="AZ185" s="49">
        <f t="shared" si="864"/>
        <v>25672.059999999998</v>
      </c>
      <c r="BA185" s="49">
        <f t="shared" si="864"/>
        <v>62507.340000000004</v>
      </c>
      <c r="BB185" s="49">
        <f t="shared" si="864"/>
        <v>34995.170000000006</v>
      </c>
      <c r="BC185" s="49">
        <f t="shared" si="864"/>
        <v>24587.549999999996</v>
      </c>
      <c r="BD185" s="49">
        <f t="shared" si="864"/>
        <v>1840.1099999999992</v>
      </c>
      <c r="BE185" s="49">
        <f t="shared" si="864"/>
        <v>1084.5100000000004</v>
      </c>
      <c r="BF185" s="49">
        <f t="shared" si="864"/>
        <v>6999.01</v>
      </c>
      <c r="BG185" s="49">
        <f t="shared" si="864"/>
        <v>4917.5200000000013</v>
      </c>
      <c r="BH185" s="49">
        <f t="shared" si="864"/>
        <v>2534.3200000000002</v>
      </c>
      <c r="BI185" s="49">
        <f t="shared" si="864"/>
        <v>1954.44</v>
      </c>
      <c r="BJ185" s="49">
        <f t="shared" si="864"/>
        <v>92.12</v>
      </c>
      <c r="BK185" s="49">
        <f t="shared" si="864"/>
        <v>242</v>
      </c>
      <c r="BL185" s="49">
        <f t="shared" si="864"/>
        <v>39461.719999999994</v>
      </c>
      <c r="BM185" s="49">
        <f t="shared" si="864"/>
        <v>27868.5</v>
      </c>
      <c r="BN185" s="49">
        <f t="shared" si="864"/>
        <v>67330.22</v>
      </c>
      <c r="BO185" s="49">
        <f t="shared" si="864"/>
        <v>38630.129999999997</v>
      </c>
      <c r="BP185" s="130">
        <f t="shared" si="864"/>
        <v>27131.629999999997</v>
      </c>
      <c r="BQ185" s="49">
        <f t="shared" si="864"/>
        <v>831.59000000000128</v>
      </c>
      <c r="BR185" s="49">
        <f t="shared" si="864"/>
        <v>736.86999999999989</v>
      </c>
      <c r="BS185" s="49">
        <f t="shared" si="864"/>
        <v>3511.82</v>
      </c>
      <c r="BT185" s="49">
        <f t="shared" si="864"/>
        <v>2466.4999999999995</v>
      </c>
      <c r="BU185" s="49">
        <f t="shared" si="864"/>
        <v>2853.42</v>
      </c>
      <c r="BV185" s="49">
        <f t="shared" si="864"/>
        <v>2021.09</v>
      </c>
      <c r="BW185" s="49">
        <f t="shared" si="864"/>
        <v>798.32999999999993</v>
      </c>
      <c r="BX185" s="49">
        <f t="shared" si="864"/>
        <v>759.5</v>
      </c>
      <c r="BY185" s="49">
        <f t="shared" si="864"/>
        <v>89.3</v>
      </c>
      <c r="BZ185" s="49">
        <f t="shared" si="864"/>
        <v>0</v>
      </c>
      <c r="CA185" s="49">
        <f t="shared" si="864"/>
        <v>43113.469999999994</v>
      </c>
      <c r="CB185" s="49">
        <f t="shared" si="864"/>
        <v>30559.790000000005</v>
      </c>
      <c r="CC185" s="49">
        <f t="shared" si="864"/>
        <v>47424.840000000004</v>
      </c>
      <c r="CD185" s="130">
        <f t="shared" si="864"/>
        <v>35143.75</v>
      </c>
      <c r="CE185" s="191">
        <f t="shared" si="864"/>
        <v>4174</v>
      </c>
      <c r="CF185" s="191">
        <f t="shared" si="864"/>
        <v>3718</v>
      </c>
      <c r="CG185" s="191">
        <f t="shared" si="864"/>
        <v>10778.41</v>
      </c>
      <c r="CH185" s="191">
        <f t="shared" si="864"/>
        <v>7639.97</v>
      </c>
      <c r="CI185" s="191">
        <f t="shared" si="864"/>
        <v>0</v>
      </c>
      <c r="CJ185" s="191">
        <f t="shared" si="864"/>
        <v>0</v>
      </c>
      <c r="CK185" s="191">
        <f t="shared" si="864"/>
        <v>11652.220000000001</v>
      </c>
      <c r="CL185" s="191">
        <f t="shared" si="864"/>
        <v>8062.29</v>
      </c>
      <c r="CM185" s="191">
        <f t="shared" si="864"/>
        <v>400</v>
      </c>
      <c r="CN185" s="191">
        <f t="shared" si="864"/>
        <v>371</v>
      </c>
      <c r="CO185" s="191">
        <f t="shared" si="864"/>
        <v>47359.340000000004</v>
      </c>
      <c r="CP185" s="191">
        <f t="shared" ref="CP185:DT185" si="865">+CP184+CP180+CP179+CP176+CP175+CP174+CP170+CP169+CP168+CP165+CP164+CP160+CP161+CP157+CP156+CP146+CP142+CP139+CP136</f>
        <v>32585.940000000002</v>
      </c>
      <c r="CQ185" s="191">
        <f t="shared" si="865"/>
        <v>46608.880000000005</v>
      </c>
      <c r="CR185" s="191">
        <f t="shared" si="865"/>
        <v>32249.16</v>
      </c>
      <c r="CS185" s="191">
        <f t="shared" si="865"/>
        <v>45257.880000000005</v>
      </c>
      <c r="CT185" s="191">
        <f t="shared" si="865"/>
        <v>30908.81</v>
      </c>
      <c r="CU185" s="191">
        <f t="shared" si="865"/>
        <v>45636.4</v>
      </c>
      <c r="CV185" s="191">
        <f t="shared" si="865"/>
        <v>31581.599999999999</v>
      </c>
      <c r="CW185" s="191">
        <f t="shared" si="865"/>
        <v>11407.11</v>
      </c>
      <c r="CX185" s="191">
        <f t="shared" si="865"/>
        <v>8011.5</v>
      </c>
      <c r="CY185" s="191">
        <f t="shared" si="865"/>
        <v>72</v>
      </c>
      <c r="CZ185" s="191">
        <f t="shared" si="865"/>
        <v>335.11</v>
      </c>
      <c r="DA185" s="191">
        <f t="shared" si="865"/>
        <v>27705.33</v>
      </c>
      <c r="DB185" s="191">
        <f t="shared" si="865"/>
        <v>20497.899999999998</v>
      </c>
      <c r="DC185" s="191">
        <f t="shared" si="865"/>
        <v>25886.340000000004</v>
      </c>
      <c r="DD185" s="191">
        <f t="shared" si="865"/>
        <v>20108.16</v>
      </c>
      <c r="DE185" s="191">
        <f t="shared" si="865"/>
        <v>1818.9899999999984</v>
      </c>
      <c r="DF185" s="191">
        <f t="shared" si="865"/>
        <v>389.7400000000008</v>
      </c>
      <c r="DG185" s="191">
        <f t="shared" si="865"/>
        <v>11386.61</v>
      </c>
      <c r="DH185" s="191">
        <f t="shared" si="865"/>
        <v>7851.09</v>
      </c>
      <c r="DI185" s="191">
        <f t="shared" si="865"/>
        <v>9687.010000000002</v>
      </c>
      <c r="DJ185" s="191">
        <f t="shared" si="865"/>
        <v>7482.0299999999988</v>
      </c>
      <c r="DK185" s="104">
        <f t="shared" si="839"/>
        <v>9591.8799999999974</v>
      </c>
      <c r="DL185" s="104">
        <f t="shared" si="840"/>
        <v>7985.7900000000045</v>
      </c>
      <c r="DM185" s="104">
        <f t="shared" si="663"/>
        <v>8244.0599999999977</v>
      </c>
      <c r="DN185" s="104">
        <f t="shared" si="664"/>
        <v>3601.6700000000019</v>
      </c>
      <c r="DO185" s="49">
        <f t="shared" si="865"/>
        <v>46984.22</v>
      </c>
      <c r="DP185" s="49">
        <f t="shared" si="865"/>
        <v>35965.72</v>
      </c>
      <c r="DQ185" s="49">
        <f t="shared" si="865"/>
        <v>49837.17</v>
      </c>
      <c r="DR185" s="49">
        <f t="shared" si="865"/>
        <v>38036</v>
      </c>
      <c r="DS185" s="49">
        <f t="shared" si="865"/>
        <v>0</v>
      </c>
      <c r="DT185" s="49">
        <f t="shared" si="865"/>
        <v>0</v>
      </c>
    </row>
    <row r="186" spans="1:126" ht="18.75">
      <c r="A186" s="43">
        <v>1</v>
      </c>
      <c r="B186" s="43"/>
      <c r="C186" s="44"/>
      <c r="D186" s="55" t="s">
        <v>303</v>
      </c>
      <c r="E186" s="56"/>
      <c r="F186" s="81">
        <v>4738.8599999999997</v>
      </c>
      <c r="G186" s="81">
        <v>5493.23</v>
      </c>
      <c r="H186" s="81">
        <v>4738.8599999999997</v>
      </c>
      <c r="I186" s="57">
        <v>5563.23</v>
      </c>
      <c r="J186" s="94">
        <v>5600</v>
      </c>
      <c r="K186" s="87">
        <v>3</v>
      </c>
      <c r="L186" s="87"/>
      <c r="M186" s="87">
        <f t="shared" ref="M186" si="866">J186+K186+L186</f>
        <v>5603</v>
      </c>
      <c r="N186" s="87">
        <v>0</v>
      </c>
      <c r="O186" s="87">
        <v>0</v>
      </c>
      <c r="P186" s="87">
        <v>0</v>
      </c>
      <c r="Q186" s="87">
        <f t="shared" ref="Q186" si="867">N186+O186+P186</f>
        <v>0</v>
      </c>
      <c r="R186" s="87">
        <f t="shared" ref="R186" si="868">+Q186+M186</f>
        <v>5603</v>
      </c>
      <c r="S186" s="87">
        <v>6100</v>
      </c>
      <c r="V186" s="57">
        <f t="shared" ref="V186" si="869">ROUND(H186*1.0583,2)</f>
        <v>5015.1400000000003</v>
      </c>
      <c r="W186" s="17">
        <f t="shared" ref="W186" si="870">ROUND(I186*1.0327,2)</f>
        <v>5745.15</v>
      </c>
      <c r="X186" s="108">
        <f t="shared" si="642"/>
        <v>587.85999999999967</v>
      </c>
      <c r="Y186" s="108">
        <f t="shared" si="643"/>
        <v>354.85000000000036</v>
      </c>
      <c r="Z186" s="108">
        <v>5015.1400000000003</v>
      </c>
      <c r="AA186" s="108"/>
      <c r="AB186" s="108">
        <f t="shared" si="644"/>
        <v>5015.1400000000003</v>
      </c>
      <c r="AC186" s="109">
        <f t="shared" si="645"/>
        <v>0</v>
      </c>
      <c r="AD186" s="108">
        <f t="shared" ref="AD186" si="871">IF(X186&gt;0,V186,R186)</f>
        <v>5015.1400000000003</v>
      </c>
      <c r="AE186" s="108">
        <f>IF(Y186&gt;0,W186,S186)+358.93</f>
        <v>6104.08</v>
      </c>
      <c r="AF186" s="108">
        <f t="shared" si="646"/>
        <v>5503.42</v>
      </c>
      <c r="AG186" s="108">
        <f t="shared" si="647"/>
        <v>1254</v>
      </c>
      <c r="AH186" s="108">
        <v>1436</v>
      </c>
      <c r="AI186" s="127">
        <f t="shared" si="649"/>
        <v>418</v>
      </c>
      <c r="AJ186" s="108">
        <v>479</v>
      </c>
      <c r="AL186" s="143">
        <v>358.93</v>
      </c>
      <c r="AM186" s="108">
        <f t="shared" si="651"/>
        <v>1253.79</v>
      </c>
      <c r="AN186" s="108">
        <f>1436</f>
        <v>1436</v>
      </c>
      <c r="AQ186" s="108">
        <f t="shared" si="653"/>
        <v>2507.79</v>
      </c>
      <c r="AR186" s="108">
        <f t="shared" si="654"/>
        <v>3230.9300000000003</v>
      </c>
      <c r="AT186" s="116">
        <v>82</v>
      </c>
      <c r="AU186" s="108">
        <f t="shared" si="749"/>
        <v>1253.79</v>
      </c>
      <c r="AV186" s="108">
        <f>ROUND(AE186*25%,2)+160.25</f>
        <v>1686.27</v>
      </c>
      <c r="AY186" s="108">
        <f t="shared" si="633"/>
        <v>4179.58</v>
      </c>
      <c r="AZ186" s="108">
        <f t="shared" si="634"/>
        <v>5478.2000000000007</v>
      </c>
      <c r="BA186" s="108">
        <f t="shared" si="635"/>
        <v>9657.7800000000007</v>
      </c>
      <c r="BB186" s="139">
        <v>3989.31</v>
      </c>
      <c r="BC186" s="139">
        <v>5507.84</v>
      </c>
      <c r="BD186" s="139">
        <f t="shared" si="636"/>
        <v>190.26999999999998</v>
      </c>
      <c r="BE186" s="139">
        <f t="shared" si="637"/>
        <v>-29.639999999999418</v>
      </c>
      <c r="BF186" s="139">
        <f t="shared" si="638"/>
        <v>797.86</v>
      </c>
      <c r="BG186" s="139">
        <f t="shared" si="639"/>
        <v>1101.57</v>
      </c>
      <c r="BH186" s="108">
        <v>303.8</v>
      </c>
      <c r="BI186" s="109">
        <v>500</v>
      </c>
      <c r="BJ186" s="109"/>
      <c r="BK186" s="109">
        <v>172.37</v>
      </c>
      <c r="BL186" s="108">
        <f t="shared" si="662"/>
        <v>4483.38</v>
      </c>
      <c r="BM186" s="108">
        <f t="shared" si="679"/>
        <v>6150.5700000000006</v>
      </c>
      <c r="BN186" s="108">
        <f t="shared" si="680"/>
        <v>10633.95</v>
      </c>
      <c r="BO186" s="108">
        <v>4410.9399999999996</v>
      </c>
      <c r="BP186" s="127">
        <f>6138.57+24</f>
        <v>6162.57</v>
      </c>
      <c r="BQ186" s="108">
        <f t="shared" si="681"/>
        <v>72.440000000000509</v>
      </c>
      <c r="BR186" s="108">
        <f t="shared" si="682"/>
        <v>-11.999999999999091</v>
      </c>
      <c r="BS186" s="108">
        <f t="shared" si="683"/>
        <v>400.99</v>
      </c>
      <c r="BT186" s="108">
        <f t="shared" si="684"/>
        <v>560.23</v>
      </c>
      <c r="BU186" s="109">
        <v>500</v>
      </c>
      <c r="BV186" s="109">
        <v>586</v>
      </c>
      <c r="BW186" s="109">
        <v>55.32</v>
      </c>
      <c r="BX186" s="109">
        <f>28.37+35.87</f>
        <v>64.239999999999995</v>
      </c>
      <c r="BY186" s="109"/>
      <c r="BZ186" s="109"/>
      <c r="CA186" s="108">
        <f>5038.7+15.9</f>
        <v>5054.5999999999995</v>
      </c>
      <c r="CB186" s="108">
        <v>6800.81</v>
      </c>
      <c r="CC186">
        <v>5542.57</v>
      </c>
      <c r="CD186">
        <v>7820.93</v>
      </c>
      <c r="CE186" s="189">
        <v>462</v>
      </c>
      <c r="CF186" s="189">
        <v>652</v>
      </c>
      <c r="CG186" s="189">
        <f t="shared" si="685"/>
        <v>1263.6500000000001</v>
      </c>
      <c r="CH186" s="189">
        <f t="shared" si="686"/>
        <v>1700.2</v>
      </c>
      <c r="CI186" s="150"/>
      <c r="CJ186" s="150"/>
      <c r="CK186" s="150">
        <v>1300</v>
      </c>
      <c r="CL186" s="150">
        <f>1700-200</f>
        <v>1500</v>
      </c>
      <c r="CM186" s="150"/>
      <c r="CN186" s="150"/>
      <c r="CO186" s="150">
        <v>5200</v>
      </c>
      <c r="CP186" s="150">
        <v>7000</v>
      </c>
      <c r="CQ186" s="150">
        <f t="shared" si="687"/>
        <v>5200</v>
      </c>
      <c r="CR186" s="150">
        <f t="shared" si="688"/>
        <v>6000</v>
      </c>
      <c r="CS186" s="150">
        <f t="shared" si="689"/>
        <v>5200</v>
      </c>
      <c r="CT186" s="150">
        <f>IF(CP186&lt;CR186,CP186,CR186)</f>
        <v>6000</v>
      </c>
      <c r="CU186" s="150">
        <f t="shared" ref="CU186" si="872">IF(CQ186&lt;CS186,CQ186,CS186)</f>
        <v>5200</v>
      </c>
      <c r="CV186" s="150">
        <f>IF(CR186&lt;CT186,CR186,CT186)+1400</f>
        <v>7400</v>
      </c>
      <c r="CW186" s="150">
        <f t="shared" si="691"/>
        <v>1300</v>
      </c>
      <c r="CX186" s="150">
        <v>19.07</v>
      </c>
      <c r="CY186" s="150"/>
      <c r="CZ186" s="150">
        <v>1887.93</v>
      </c>
      <c r="DA186" s="150">
        <f t="shared" si="692"/>
        <v>3062</v>
      </c>
      <c r="DB186" s="150">
        <f t="shared" si="693"/>
        <v>4059</v>
      </c>
      <c r="DC186" s="150">
        <v>2840.98</v>
      </c>
      <c r="DD186" s="150">
        <v>3952.69</v>
      </c>
      <c r="DE186" s="150">
        <f t="shared" si="694"/>
        <v>221.01999999999998</v>
      </c>
      <c r="DF186" s="150">
        <f t="shared" si="695"/>
        <v>106.30999999999995</v>
      </c>
      <c r="DG186" s="150">
        <f>ROUND(0.25*(MIN(CU186,DO186)),2)</f>
        <v>1300</v>
      </c>
      <c r="DH186" s="150">
        <f>ROUND(0.25*(MIN(CV186,DP186)),2)</f>
        <v>1850</v>
      </c>
      <c r="DI186" s="150">
        <f>+DG186-DE186</f>
        <v>1078.98</v>
      </c>
      <c r="DJ186" s="150">
        <f>+DH186-DF186</f>
        <v>1743.69</v>
      </c>
      <c r="DK186" s="104">
        <f t="shared" si="839"/>
        <v>1059.02</v>
      </c>
      <c r="DL186" s="104">
        <f t="shared" si="840"/>
        <v>1597.31</v>
      </c>
      <c r="DM186" s="104">
        <f t="shared" si="663"/>
        <v>1059.02</v>
      </c>
      <c r="DN186" s="104">
        <f t="shared" si="664"/>
        <v>1597.31</v>
      </c>
      <c r="DO186" s="104">
        <v>5200</v>
      </c>
      <c r="DP186" s="104">
        <v>7400</v>
      </c>
      <c r="DQ186" s="104">
        <v>5500</v>
      </c>
      <c r="DR186" s="104">
        <v>7600</v>
      </c>
    </row>
    <row r="187" spans="1:126" ht="18.75">
      <c r="A187" s="18"/>
      <c r="B187" s="18"/>
      <c r="C187" s="19"/>
      <c r="D187" s="20" t="s">
        <v>303</v>
      </c>
      <c r="E187" s="21"/>
      <c r="F187" s="22">
        <v>4738.8599999999997</v>
      </c>
      <c r="G187" s="22">
        <v>5493.23</v>
      </c>
      <c r="H187" s="22">
        <v>4738.8599999999997</v>
      </c>
      <c r="I187" s="22">
        <v>5563.23</v>
      </c>
      <c r="J187" s="88">
        <f t="shared" ref="J187:AA187" si="873">J186</f>
        <v>5600</v>
      </c>
      <c r="K187" s="88">
        <f t="shared" si="873"/>
        <v>3</v>
      </c>
      <c r="L187" s="88">
        <f t="shared" si="873"/>
        <v>0</v>
      </c>
      <c r="M187" s="88">
        <f t="shared" si="873"/>
        <v>5603</v>
      </c>
      <c r="N187" s="88">
        <f t="shared" si="873"/>
        <v>0</v>
      </c>
      <c r="O187" s="88">
        <f t="shared" si="873"/>
        <v>0</v>
      </c>
      <c r="P187" s="88">
        <f t="shared" si="873"/>
        <v>0</v>
      </c>
      <c r="Q187" s="88">
        <f t="shared" si="873"/>
        <v>0</v>
      </c>
      <c r="R187" s="88">
        <f t="shared" si="873"/>
        <v>5603</v>
      </c>
      <c r="S187" s="88">
        <f t="shared" si="873"/>
        <v>6100</v>
      </c>
      <c r="T187" s="88">
        <f t="shared" si="873"/>
        <v>0</v>
      </c>
      <c r="U187" s="88">
        <f t="shared" si="873"/>
        <v>0</v>
      </c>
      <c r="V187" s="88">
        <f t="shared" si="873"/>
        <v>5015.1400000000003</v>
      </c>
      <c r="W187" s="88">
        <f t="shared" si="873"/>
        <v>5745.15</v>
      </c>
      <c r="X187" s="88">
        <f t="shared" si="873"/>
        <v>587.85999999999967</v>
      </c>
      <c r="Y187" s="88">
        <f t="shared" si="873"/>
        <v>354.85000000000036</v>
      </c>
      <c r="Z187" s="88">
        <f t="shared" si="873"/>
        <v>5015.1400000000003</v>
      </c>
      <c r="AA187" s="88">
        <f t="shared" si="873"/>
        <v>0</v>
      </c>
      <c r="AB187" s="22">
        <f t="shared" si="644"/>
        <v>5015.1400000000003</v>
      </c>
      <c r="AC187" s="109">
        <f t="shared" si="645"/>
        <v>0</v>
      </c>
      <c r="AD187" s="22">
        <f t="shared" ref="AD187:CO187" si="874">AD186</f>
        <v>5015.1400000000003</v>
      </c>
      <c r="AE187" s="22">
        <f t="shared" si="874"/>
        <v>6104.08</v>
      </c>
      <c r="AF187" s="22">
        <f t="shared" si="874"/>
        <v>5503.42</v>
      </c>
      <c r="AG187" s="22">
        <f t="shared" si="874"/>
        <v>1254</v>
      </c>
      <c r="AH187" s="22">
        <f t="shared" si="874"/>
        <v>1436</v>
      </c>
      <c r="AI187" s="118">
        <f t="shared" si="874"/>
        <v>418</v>
      </c>
      <c r="AJ187" s="22">
        <f t="shared" si="874"/>
        <v>479</v>
      </c>
      <c r="AK187" s="22">
        <f t="shared" si="874"/>
        <v>0</v>
      </c>
      <c r="AL187" s="22">
        <f t="shared" si="874"/>
        <v>358.93</v>
      </c>
      <c r="AM187" s="22">
        <f t="shared" si="874"/>
        <v>1253.79</v>
      </c>
      <c r="AN187" s="22">
        <f t="shared" si="874"/>
        <v>1436</v>
      </c>
      <c r="AO187" s="22">
        <f t="shared" si="874"/>
        <v>0</v>
      </c>
      <c r="AP187" s="22">
        <f t="shared" si="874"/>
        <v>0</v>
      </c>
      <c r="AQ187" s="22">
        <f t="shared" si="874"/>
        <v>2507.79</v>
      </c>
      <c r="AR187" s="22">
        <f t="shared" si="874"/>
        <v>3230.9300000000003</v>
      </c>
      <c r="AS187" s="22">
        <f t="shared" si="874"/>
        <v>0</v>
      </c>
      <c r="AT187" s="22">
        <f t="shared" si="874"/>
        <v>82</v>
      </c>
      <c r="AU187" s="22">
        <f t="shared" si="874"/>
        <v>1253.79</v>
      </c>
      <c r="AV187" s="22">
        <f t="shared" si="874"/>
        <v>1686.27</v>
      </c>
      <c r="AW187" s="22">
        <f t="shared" si="874"/>
        <v>0</v>
      </c>
      <c r="AX187" s="22">
        <f t="shared" si="874"/>
        <v>0</v>
      </c>
      <c r="AY187" s="22">
        <f t="shared" si="874"/>
        <v>4179.58</v>
      </c>
      <c r="AZ187" s="22">
        <f t="shared" si="874"/>
        <v>5478.2000000000007</v>
      </c>
      <c r="BA187" s="22">
        <f t="shared" si="874"/>
        <v>9657.7800000000007</v>
      </c>
      <c r="BB187" s="22">
        <f t="shared" si="874"/>
        <v>3989.31</v>
      </c>
      <c r="BC187" s="22">
        <f t="shared" si="874"/>
        <v>5507.84</v>
      </c>
      <c r="BD187" s="22">
        <f t="shared" si="874"/>
        <v>190.26999999999998</v>
      </c>
      <c r="BE187" s="22">
        <f t="shared" si="874"/>
        <v>-29.639999999999418</v>
      </c>
      <c r="BF187" s="22">
        <f t="shared" si="874"/>
        <v>797.86</v>
      </c>
      <c r="BG187" s="118">
        <f t="shared" si="874"/>
        <v>1101.57</v>
      </c>
      <c r="BH187" s="118">
        <f t="shared" si="874"/>
        <v>303.8</v>
      </c>
      <c r="BI187" s="118">
        <f t="shared" si="874"/>
        <v>500</v>
      </c>
      <c r="BJ187" s="118">
        <f t="shared" si="874"/>
        <v>0</v>
      </c>
      <c r="BK187" s="118">
        <f t="shared" si="874"/>
        <v>172.37</v>
      </c>
      <c r="BL187" s="118">
        <f t="shared" si="874"/>
        <v>4483.38</v>
      </c>
      <c r="BM187" s="118">
        <f t="shared" si="874"/>
        <v>6150.5700000000006</v>
      </c>
      <c r="BN187" s="118">
        <f t="shared" si="874"/>
        <v>10633.95</v>
      </c>
      <c r="BO187" s="118">
        <f t="shared" si="874"/>
        <v>4410.9399999999996</v>
      </c>
      <c r="BP187" s="118">
        <f t="shared" si="874"/>
        <v>6162.57</v>
      </c>
      <c r="BQ187" s="22">
        <f t="shared" si="874"/>
        <v>72.440000000000509</v>
      </c>
      <c r="BR187" s="22">
        <f t="shared" si="874"/>
        <v>-11.999999999999091</v>
      </c>
      <c r="BS187" s="22">
        <f t="shared" si="874"/>
        <v>400.99</v>
      </c>
      <c r="BT187" s="22">
        <f t="shared" si="874"/>
        <v>560.23</v>
      </c>
      <c r="BU187" s="22">
        <f t="shared" si="874"/>
        <v>500</v>
      </c>
      <c r="BV187" s="22">
        <f t="shared" si="874"/>
        <v>586</v>
      </c>
      <c r="BW187" s="22">
        <f t="shared" si="874"/>
        <v>55.32</v>
      </c>
      <c r="BX187" s="22">
        <f t="shared" si="874"/>
        <v>64.239999999999995</v>
      </c>
      <c r="BY187" s="22">
        <f t="shared" si="874"/>
        <v>0</v>
      </c>
      <c r="BZ187" s="22">
        <f t="shared" si="874"/>
        <v>0</v>
      </c>
      <c r="CA187" s="22">
        <f t="shared" si="874"/>
        <v>5054.5999999999995</v>
      </c>
      <c r="CB187" s="22">
        <f t="shared" si="874"/>
        <v>6800.81</v>
      </c>
      <c r="CC187" s="22">
        <f t="shared" si="874"/>
        <v>5542.57</v>
      </c>
      <c r="CD187" s="118">
        <f t="shared" si="874"/>
        <v>7820.93</v>
      </c>
      <c r="CE187" s="190">
        <f t="shared" si="874"/>
        <v>462</v>
      </c>
      <c r="CF187" s="190">
        <f t="shared" si="874"/>
        <v>652</v>
      </c>
      <c r="CG187" s="190">
        <f t="shared" si="874"/>
        <v>1263.6500000000001</v>
      </c>
      <c r="CH187" s="190">
        <f t="shared" si="874"/>
        <v>1700.2</v>
      </c>
      <c r="CI187" s="190">
        <f t="shared" si="874"/>
        <v>0</v>
      </c>
      <c r="CJ187" s="190">
        <f t="shared" si="874"/>
        <v>0</v>
      </c>
      <c r="CK187" s="190">
        <f t="shared" si="874"/>
        <v>1300</v>
      </c>
      <c r="CL187" s="190">
        <f t="shared" si="874"/>
        <v>1500</v>
      </c>
      <c r="CM187" s="190">
        <f t="shared" si="874"/>
        <v>0</v>
      </c>
      <c r="CN187" s="190">
        <f t="shared" si="874"/>
        <v>0</v>
      </c>
      <c r="CO187" s="190">
        <f t="shared" si="874"/>
        <v>5200</v>
      </c>
      <c r="CP187" s="190">
        <f t="shared" ref="CP187:DR187" si="875">CP186</f>
        <v>7000</v>
      </c>
      <c r="CQ187" s="190">
        <f t="shared" si="875"/>
        <v>5200</v>
      </c>
      <c r="CR187" s="190">
        <f t="shared" si="875"/>
        <v>6000</v>
      </c>
      <c r="CS187" s="190">
        <f t="shared" si="875"/>
        <v>5200</v>
      </c>
      <c r="CT187" s="190">
        <f t="shared" si="875"/>
        <v>6000</v>
      </c>
      <c r="CU187" s="190">
        <f t="shared" si="875"/>
        <v>5200</v>
      </c>
      <c r="CV187" s="190">
        <f t="shared" si="875"/>
        <v>7400</v>
      </c>
      <c r="CW187" s="190">
        <f t="shared" si="875"/>
        <v>1300</v>
      </c>
      <c r="CX187" s="190">
        <f t="shared" si="875"/>
        <v>19.07</v>
      </c>
      <c r="CY187" s="190">
        <f t="shared" si="875"/>
        <v>0</v>
      </c>
      <c r="CZ187" s="190">
        <f t="shared" si="875"/>
        <v>1887.93</v>
      </c>
      <c r="DA187" s="190">
        <f t="shared" si="875"/>
        <v>3062</v>
      </c>
      <c r="DB187" s="190">
        <f t="shared" si="875"/>
        <v>4059</v>
      </c>
      <c r="DC187" s="190">
        <f t="shared" si="875"/>
        <v>2840.98</v>
      </c>
      <c r="DD187" s="190">
        <f t="shared" si="875"/>
        <v>3952.69</v>
      </c>
      <c r="DE187" s="190">
        <f t="shared" si="875"/>
        <v>221.01999999999998</v>
      </c>
      <c r="DF187" s="190">
        <f t="shared" si="875"/>
        <v>106.30999999999995</v>
      </c>
      <c r="DG187" s="190">
        <f t="shared" si="875"/>
        <v>1300</v>
      </c>
      <c r="DH187" s="190">
        <f t="shared" si="875"/>
        <v>1850</v>
      </c>
      <c r="DI187" s="190">
        <f t="shared" si="875"/>
        <v>1078.98</v>
      </c>
      <c r="DJ187" s="190">
        <f t="shared" si="875"/>
        <v>1743.69</v>
      </c>
      <c r="DK187" s="104">
        <f t="shared" si="839"/>
        <v>1059.02</v>
      </c>
      <c r="DL187" s="104">
        <f t="shared" si="840"/>
        <v>1597.31</v>
      </c>
      <c r="DM187" s="104">
        <f t="shared" si="663"/>
        <v>1059.02</v>
      </c>
      <c r="DN187" s="104">
        <f t="shared" si="664"/>
        <v>1597.31</v>
      </c>
      <c r="DO187" s="22">
        <f t="shared" si="875"/>
        <v>5200</v>
      </c>
      <c r="DP187" s="22">
        <f t="shared" si="875"/>
        <v>7400</v>
      </c>
      <c r="DQ187" s="22">
        <f t="shared" si="875"/>
        <v>5500</v>
      </c>
      <c r="DR187" s="22">
        <f t="shared" si="875"/>
        <v>7600</v>
      </c>
      <c r="DS187" s="22">
        <f t="shared" ref="DS187:DV187" si="876">DS186</f>
        <v>0</v>
      </c>
      <c r="DT187" s="22">
        <f t="shared" si="876"/>
        <v>0</v>
      </c>
      <c r="DU187" s="22">
        <f t="shared" si="876"/>
        <v>0</v>
      </c>
      <c r="DV187" s="22">
        <f t="shared" si="876"/>
        <v>0</v>
      </c>
    </row>
    <row r="188" spans="1:126" ht="18.75">
      <c r="A188" s="13">
        <v>2</v>
      </c>
      <c r="B188" s="13"/>
      <c r="C188" s="14"/>
      <c r="D188" s="120" t="s">
        <v>304</v>
      </c>
      <c r="E188" s="16"/>
      <c r="F188" s="81">
        <v>2482.77</v>
      </c>
      <c r="G188" s="81">
        <v>589.26</v>
      </c>
      <c r="H188" s="81">
        <v>2495</v>
      </c>
      <c r="I188" s="17">
        <v>609.26</v>
      </c>
      <c r="J188" s="86">
        <v>2650</v>
      </c>
      <c r="K188" s="87">
        <v>137</v>
      </c>
      <c r="L188" s="87">
        <v>0.1</v>
      </c>
      <c r="M188" s="87">
        <f t="shared" ref="M188:M190" si="877">J188+K188+L188</f>
        <v>2787.1</v>
      </c>
      <c r="N188" s="87">
        <v>0</v>
      </c>
      <c r="O188" s="87">
        <v>0</v>
      </c>
      <c r="P188" s="87">
        <v>0</v>
      </c>
      <c r="Q188" s="87">
        <f t="shared" ref="Q188:Q190" si="878">N188+O188+P188</f>
        <v>0</v>
      </c>
      <c r="R188" s="87">
        <f t="shared" ref="R188:R190" si="879">+Q188+M188</f>
        <v>2787.1</v>
      </c>
      <c r="S188" s="87">
        <v>300</v>
      </c>
      <c r="V188" s="57">
        <f t="shared" ref="V188" si="880">ROUND(H188*1.0583,2)</f>
        <v>2640.46</v>
      </c>
      <c r="W188" s="17">
        <f t="shared" ref="W188" si="881">ROUND(I188*1.0327,2)</f>
        <v>629.17999999999995</v>
      </c>
      <c r="X188" s="108">
        <f t="shared" si="642"/>
        <v>146.63999999999987</v>
      </c>
      <c r="Y188" s="108">
        <f t="shared" si="643"/>
        <v>-329.17999999999995</v>
      </c>
      <c r="Z188" s="108">
        <v>2640.46</v>
      </c>
      <c r="AA188" s="108"/>
      <c r="AB188" s="108">
        <f t="shared" si="644"/>
        <v>2640.46</v>
      </c>
      <c r="AC188" s="109">
        <f t="shared" si="645"/>
        <v>0</v>
      </c>
      <c r="AD188" s="108">
        <f t="shared" ref="AD188" si="882">IF(X188&gt;0,V188,R188)</f>
        <v>2640.46</v>
      </c>
      <c r="AE188" s="109">
        <f t="shared" ref="AE188" si="883">IF(Y188&gt;0,W188,S188)</f>
        <v>300</v>
      </c>
      <c r="AF188" s="108">
        <f t="shared" si="646"/>
        <v>270.66000000000003</v>
      </c>
      <c r="AG188" s="108">
        <f t="shared" si="647"/>
        <v>660</v>
      </c>
      <c r="AH188" s="108">
        <f t="shared" si="648"/>
        <v>75</v>
      </c>
      <c r="AI188" s="127">
        <f t="shared" si="649"/>
        <v>220</v>
      </c>
      <c r="AJ188" s="108">
        <f t="shared" si="650"/>
        <v>25</v>
      </c>
      <c r="AL188" s="143">
        <v>140</v>
      </c>
      <c r="AM188" s="108">
        <f t="shared" si="651"/>
        <v>660.12</v>
      </c>
      <c r="AN188" s="108">
        <f t="shared" si="652"/>
        <v>73.05</v>
      </c>
      <c r="AQ188" s="108">
        <f t="shared" si="653"/>
        <v>1320.12</v>
      </c>
      <c r="AR188" s="108">
        <f t="shared" si="654"/>
        <v>288.05</v>
      </c>
      <c r="AU188" s="116">
        <f t="shared" si="749"/>
        <v>660.12</v>
      </c>
      <c r="AV188" s="150">
        <f>ROUND(AE188*25%,2)-43.15</f>
        <v>31.85</v>
      </c>
      <c r="AW188" s="150"/>
      <c r="AX188" s="150"/>
      <c r="AY188" s="108">
        <f t="shared" si="633"/>
        <v>2200.2399999999998</v>
      </c>
      <c r="AZ188" s="108">
        <f t="shared" si="634"/>
        <v>344.90000000000003</v>
      </c>
      <c r="BA188" s="108">
        <f t="shared" si="635"/>
        <v>2545.14</v>
      </c>
      <c r="BB188" s="139">
        <v>2097.87</v>
      </c>
      <c r="BC188" s="139">
        <v>290.13</v>
      </c>
      <c r="BD188" s="139">
        <f t="shared" si="636"/>
        <v>102.36999999999989</v>
      </c>
      <c r="BE188" s="139">
        <f t="shared" si="637"/>
        <v>54.770000000000039</v>
      </c>
      <c r="BF188" s="139">
        <f t="shared" si="638"/>
        <v>419.57</v>
      </c>
      <c r="BG188" s="139">
        <f t="shared" si="639"/>
        <v>58.03</v>
      </c>
      <c r="BH188" s="108">
        <v>150.53</v>
      </c>
      <c r="BI188" s="108">
        <v>0</v>
      </c>
      <c r="BL188" s="108">
        <f t="shared" si="662"/>
        <v>2350.77</v>
      </c>
      <c r="BM188" s="108">
        <f t="shared" si="679"/>
        <v>344.90000000000003</v>
      </c>
      <c r="BN188" s="108">
        <f t="shared" si="680"/>
        <v>2695.67</v>
      </c>
      <c r="BO188" s="108">
        <v>2322.83</v>
      </c>
      <c r="BP188" s="127">
        <v>299.08</v>
      </c>
      <c r="BQ188" s="108">
        <f t="shared" si="681"/>
        <v>27.940000000000055</v>
      </c>
      <c r="BR188" s="108">
        <f t="shared" si="682"/>
        <v>45.82000000000005</v>
      </c>
      <c r="BS188" s="108">
        <f t="shared" si="683"/>
        <v>211.17</v>
      </c>
      <c r="BT188" s="108">
        <f t="shared" si="684"/>
        <v>27.19</v>
      </c>
      <c r="BU188" s="143">
        <f>BS188-BQ188+10+10</f>
        <v>203.22999999999993</v>
      </c>
      <c r="BV188" s="143">
        <v>0</v>
      </c>
      <c r="BW188" s="143">
        <v>5</v>
      </c>
      <c r="BX188" s="143"/>
      <c r="BY188" s="143"/>
      <c r="BZ188" s="143"/>
      <c r="CA188" s="108">
        <v>2559</v>
      </c>
      <c r="CB188" s="108">
        <v>344.90000000000003</v>
      </c>
      <c r="CC188">
        <v>2814.9</v>
      </c>
      <c r="CD188">
        <v>396.64</v>
      </c>
      <c r="CE188" s="189">
        <v>235</v>
      </c>
      <c r="CF188" s="189">
        <v>33</v>
      </c>
      <c r="CG188" s="189">
        <f t="shared" si="685"/>
        <v>639.75</v>
      </c>
      <c r="CH188" s="189">
        <f t="shared" si="686"/>
        <v>86.23</v>
      </c>
      <c r="CI188" s="150"/>
      <c r="CJ188" s="150"/>
      <c r="CK188" s="150">
        <v>690</v>
      </c>
      <c r="CL188" s="150">
        <f>120-20-5</f>
        <v>95</v>
      </c>
      <c r="CM188" s="150">
        <v>55</v>
      </c>
      <c r="CN188" s="150"/>
      <c r="CO188" s="150">
        <v>2600</v>
      </c>
      <c r="CP188" s="150">
        <v>460</v>
      </c>
      <c r="CQ188" s="150">
        <f t="shared" si="687"/>
        <v>2760</v>
      </c>
      <c r="CR188" s="150">
        <f t="shared" si="688"/>
        <v>380</v>
      </c>
      <c r="CS188" s="150">
        <f t="shared" si="689"/>
        <v>2600</v>
      </c>
      <c r="CT188" s="150">
        <f t="shared" si="690"/>
        <v>380</v>
      </c>
      <c r="CU188" s="150">
        <f t="shared" ref="CU188:CU190" si="884">IF(CQ188&lt;CS188,CQ188,CS188)</f>
        <v>2600</v>
      </c>
      <c r="CV188" s="150">
        <f t="shared" ref="CV188:CV190" si="885">IF(CR188&lt;CT188,CR188,CT188)</f>
        <v>380</v>
      </c>
      <c r="CW188" s="150">
        <f>ROUND(CU188*25%,2)+35</f>
        <v>685</v>
      </c>
      <c r="CX188" s="150">
        <v>120</v>
      </c>
      <c r="CY188" s="150"/>
      <c r="CZ188" s="150"/>
      <c r="DA188" s="150">
        <f t="shared" si="692"/>
        <v>1665</v>
      </c>
      <c r="DB188" s="150">
        <f t="shared" si="693"/>
        <v>248</v>
      </c>
      <c r="DC188" s="150">
        <v>1669.77</v>
      </c>
      <c r="DD188" s="150">
        <v>243.42</v>
      </c>
      <c r="DE188" s="150">
        <f t="shared" si="694"/>
        <v>-4.7699999999999818</v>
      </c>
      <c r="DF188" s="150">
        <f t="shared" si="695"/>
        <v>4.5800000000000125</v>
      </c>
      <c r="DG188" s="150">
        <f t="shared" ref="DG188:DH190" si="886">ROUND(0.25*(MIN(CU188,DO188)),2)</f>
        <v>650</v>
      </c>
      <c r="DH188" s="150">
        <f t="shared" si="886"/>
        <v>95</v>
      </c>
      <c r="DI188" s="150">
        <f t="shared" ref="DI188:DJ190" si="887">+DG188-DE188</f>
        <v>654.77</v>
      </c>
      <c r="DJ188" s="150">
        <f t="shared" si="887"/>
        <v>90.419999999999987</v>
      </c>
      <c r="DK188" s="104">
        <f t="shared" si="839"/>
        <v>530.23</v>
      </c>
      <c r="DL188" s="104">
        <f t="shared" si="840"/>
        <v>241.58</v>
      </c>
      <c r="DM188" s="104">
        <f t="shared" si="663"/>
        <v>280.23</v>
      </c>
      <c r="DN188" s="104">
        <f t="shared" si="664"/>
        <v>41.580000000000013</v>
      </c>
      <c r="DO188" s="104">
        <v>2850</v>
      </c>
      <c r="DP188" s="104">
        <v>580</v>
      </c>
      <c r="DQ188" s="104">
        <v>3020</v>
      </c>
      <c r="DR188" s="104">
        <v>440</v>
      </c>
    </row>
    <row r="189" spans="1:126" ht="37.5">
      <c r="A189" s="13">
        <v>3</v>
      </c>
      <c r="B189" s="13"/>
      <c r="C189" s="14"/>
      <c r="D189" s="15" t="s">
        <v>305</v>
      </c>
      <c r="E189" s="16"/>
      <c r="F189" s="81">
        <v>1898.8199999999997</v>
      </c>
      <c r="G189" s="81">
        <v>0</v>
      </c>
      <c r="H189" s="81">
        <v>2043.8199999999997</v>
      </c>
      <c r="I189" s="17">
        <v>0</v>
      </c>
      <c r="J189" s="86">
        <v>2555.27</v>
      </c>
      <c r="K189" s="87"/>
      <c r="L189" s="87"/>
      <c r="M189" s="87">
        <f t="shared" si="877"/>
        <v>2555.27</v>
      </c>
      <c r="N189" s="87"/>
      <c r="O189" s="87"/>
      <c r="P189" s="87"/>
      <c r="Q189" s="87">
        <f t="shared" si="878"/>
        <v>0</v>
      </c>
      <c r="R189" s="87">
        <f t="shared" si="879"/>
        <v>2555.27</v>
      </c>
      <c r="S189" s="87"/>
      <c r="V189" s="57">
        <f t="shared" ref="V189" si="888">ROUND(H189*1.0583,2)</f>
        <v>2162.9699999999998</v>
      </c>
      <c r="W189" s="17">
        <f t="shared" ref="W189" si="889">ROUND(I189*1.0327,2)</f>
        <v>0</v>
      </c>
      <c r="X189" s="108">
        <f t="shared" si="642"/>
        <v>392.30000000000018</v>
      </c>
      <c r="Y189" s="108">
        <f t="shared" si="643"/>
        <v>0</v>
      </c>
      <c r="Z189" s="108">
        <v>2162.9699999999998</v>
      </c>
      <c r="AA189" s="108"/>
      <c r="AB189" s="108">
        <f t="shared" si="644"/>
        <v>2162.9699999999998</v>
      </c>
      <c r="AC189" s="109">
        <f t="shared" si="645"/>
        <v>0</v>
      </c>
      <c r="AD189" s="108">
        <f t="shared" ref="AD189:AD190" si="890">IF(X189&gt;0,V189,R189)</f>
        <v>2162.9699999999998</v>
      </c>
      <c r="AE189" s="108">
        <f t="shared" ref="AE189:AE190" si="891">IF(Y189&gt;0,W189,S189)</f>
        <v>0</v>
      </c>
      <c r="AF189" s="108">
        <f t="shared" si="646"/>
        <v>0</v>
      </c>
      <c r="AG189" s="108">
        <f t="shared" si="647"/>
        <v>541</v>
      </c>
      <c r="AH189" s="108">
        <f t="shared" si="648"/>
        <v>0</v>
      </c>
      <c r="AI189" s="127">
        <f t="shared" si="649"/>
        <v>180</v>
      </c>
      <c r="AJ189" s="108">
        <f t="shared" si="650"/>
        <v>0</v>
      </c>
      <c r="AM189" s="108">
        <f t="shared" si="651"/>
        <v>540.74</v>
      </c>
      <c r="AN189" s="108">
        <f t="shared" si="652"/>
        <v>0</v>
      </c>
      <c r="AQ189" s="108">
        <f t="shared" si="653"/>
        <v>1081.74</v>
      </c>
      <c r="AR189" s="108">
        <f t="shared" si="654"/>
        <v>0</v>
      </c>
      <c r="AU189" s="116">
        <f t="shared" si="749"/>
        <v>540.74</v>
      </c>
      <c r="AV189" s="116">
        <f t="shared" ref="AV189:AV204" si="892">ROUND(AE189*25%,2)</f>
        <v>0</v>
      </c>
      <c r="AW189" s="116"/>
      <c r="AX189" s="116"/>
      <c r="AY189" s="116">
        <f t="shared" si="633"/>
        <v>1802.48</v>
      </c>
      <c r="AZ189" s="108">
        <f t="shared" si="634"/>
        <v>0</v>
      </c>
      <c r="BA189" s="108">
        <f t="shared" si="635"/>
        <v>1802.48</v>
      </c>
      <c r="BB189" s="139">
        <v>1723.96</v>
      </c>
      <c r="BD189" s="139">
        <f t="shared" si="636"/>
        <v>78.519999999999982</v>
      </c>
      <c r="BE189" s="139">
        <f t="shared" si="637"/>
        <v>0</v>
      </c>
      <c r="BF189" s="139">
        <f t="shared" si="638"/>
        <v>344.79</v>
      </c>
      <c r="BG189" s="139">
        <f t="shared" si="639"/>
        <v>0</v>
      </c>
      <c r="BH189" s="108">
        <v>133.13999999999999</v>
      </c>
      <c r="BI189" s="108">
        <v>0</v>
      </c>
      <c r="BL189" s="108">
        <f t="shared" si="662"/>
        <v>1935.62</v>
      </c>
      <c r="BM189" s="108">
        <f t="shared" si="679"/>
        <v>0</v>
      </c>
      <c r="BN189" s="108">
        <f t="shared" si="680"/>
        <v>1935.62</v>
      </c>
      <c r="BO189" s="108">
        <v>1723.96</v>
      </c>
      <c r="BP189" s="127"/>
      <c r="BQ189" s="108">
        <f t="shared" si="681"/>
        <v>211.65999999999985</v>
      </c>
      <c r="BR189" s="108">
        <f t="shared" si="682"/>
        <v>0</v>
      </c>
      <c r="BS189" s="108">
        <f t="shared" si="683"/>
        <v>156.72</v>
      </c>
      <c r="BT189" s="108">
        <f t="shared" si="684"/>
        <v>0</v>
      </c>
      <c r="BU189" s="108">
        <v>0</v>
      </c>
      <c r="BV189" s="108">
        <v>0</v>
      </c>
      <c r="BW189" s="109">
        <v>221.62</v>
      </c>
      <c r="CA189" s="108">
        <v>2157.2399999999998</v>
      </c>
      <c r="CB189" s="108">
        <v>0</v>
      </c>
      <c r="CC189">
        <v>2372.96</v>
      </c>
      <c r="CD189">
        <v>0</v>
      </c>
      <c r="CE189" s="189">
        <v>198</v>
      </c>
      <c r="CF189" s="189">
        <v>0</v>
      </c>
      <c r="CG189" s="189">
        <f t="shared" si="685"/>
        <v>539.30999999999995</v>
      </c>
      <c r="CH189" s="189">
        <f t="shared" si="686"/>
        <v>0</v>
      </c>
      <c r="CI189" s="150"/>
      <c r="CJ189" s="150"/>
      <c r="CK189" s="150">
        <v>590</v>
      </c>
      <c r="CL189" s="150"/>
      <c r="CM189" s="150"/>
      <c r="CN189" s="150"/>
      <c r="CO189" s="150">
        <v>2666.36</v>
      </c>
      <c r="CP189" s="150"/>
      <c r="CQ189" s="150">
        <f t="shared" si="687"/>
        <v>2360</v>
      </c>
      <c r="CR189" s="150">
        <f t="shared" si="688"/>
        <v>0</v>
      </c>
      <c r="CS189" s="150">
        <f t="shared" si="689"/>
        <v>2360</v>
      </c>
      <c r="CT189" s="150">
        <f t="shared" si="690"/>
        <v>0</v>
      </c>
      <c r="CU189" s="150">
        <f t="shared" si="884"/>
        <v>2360</v>
      </c>
      <c r="CV189" s="150">
        <f t="shared" si="885"/>
        <v>0</v>
      </c>
      <c r="CW189" s="150">
        <f t="shared" si="691"/>
        <v>590</v>
      </c>
      <c r="CX189" s="150">
        <f t="shared" si="691"/>
        <v>0</v>
      </c>
      <c r="CY189" s="150"/>
      <c r="CZ189" s="150"/>
      <c r="DA189" s="150">
        <f t="shared" si="692"/>
        <v>1378</v>
      </c>
      <c r="DB189" s="150">
        <f t="shared" si="693"/>
        <v>0</v>
      </c>
      <c r="DC189" s="150">
        <v>1377.87</v>
      </c>
      <c r="DD189" s="150">
        <v>0</v>
      </c>
      <c r="DE189" s="150">
        <f t="shared" si="694"/>
        <v>0.13000000000010914</v>
      </c>
      <c r="DF189" s="150">
        <f t="shared" si="695"/>
        <v>0</v>
      </c>
      <c r="DG189" s="150">
        <f t="shared" si="886"/>
        <v>590</v>
      </c>
      <c r="DH189" s="150">
        <f t="shared" si="886"/>
        <v>0</v>
      </c>
      <c r="DI189" s="150">
        <f t="shared" si="887"/>
        <v>589.86999999999989</v>
      </c>
      <c r="DJ189" s="150">
        <f t="shared" si="887"/>
        <v>0</v>
      </c>
      <c r="DK189" s="104">
        <f t="shared" si="839"/>
        <v>392.13000000000011</v>
      </c>
      <c r="DL189" s="104">
        <f t="shared" si="840"/>
        <v>0</v>
      </c>
      <c r="DM189" s="104">
        <f t="shared" si="663"/>
        <v>392.13000000000011</v>
      </c>
      <c r="DN189" s="104">
        <f t="shared" si="664"/>
        <v>0</v>
      </c>
      <c r="DO189" s="104">
        <v>2360</v>
      </c>
      <c r="DQ189" s="104">
        <v>2714</v>
      </c>
    </row>
    <row r="190" spans="1:126" ht="37.5">
      <c r="A190" s="13">
        <v>4</v>
      </c>
      <c r="B190" s="13"/>
      <c r="C190" s="14"/>
      <c r="D190" s="15" t="s">
        <v>306</v>
      </c>
      <c r="E190" s="16"/>
      <c r="F190" s="81">
        <v>506.23</v>
      </c>
      <c r="G190" s="81">
        <v>0</v>
      </c>
      <c r="H190" s="81">
        <v>586.23</v>
      </c>
      <c r="I190" s="17">
        <v>0</v>
      </c>
      <c r="J190" s="86">
        <v>681.26</v>
      </c>
      <c r="K190" s="87"/>
      <c r="L190" s="87"/>
      <c r="M190" s="87">
        <f t="shared" si="877"/>
        <v>681.26</v>
      </c>
      <c r="N190" s="87"/>
      <c r="O190" s="87"/>
      <c r="P190" s="87"/>
      <c r="Q190" s="87">
        <f t="shared" si="878"/>
        <v>0</v>
      </c>
      <c r="R190" s="87">
        <f t="shared" si="879"/>
        <v>681.26</v>
      </c>
      <c r="S190" s="87"/>
      <c r="V190" s="57">
        <f t="shared" ref="V190" si="893">ROUND(H190*1.0583,2)</f>
        <v>620.41</v>
      </c>
      <c r="W190" s="17">
        <f t="shared" ref="W190" si="894">ROUND(I190*1.0327,2)</f>
        <v>0</v>
      </c>
      <c r="X190" s="108">
        <f t="shared" si="642"/>
        <v>60.850000000000023</v>
      </c>
      <c r="Y190" s="108">
        <f t="shared" si="643"/>
        <v>0</v>
      </c>
      <c r="Z190" s="108">
        <v>620.41</v>
      </c>
      <c r="AA190" s="108"/>
      <c r="AB190" s="108">
        <f t="shared" si="644"/>
        <v>620.41</v>
      </c>
      <c r="AC190" s="109">
        <f t="shared" si="645"/>
        <v>0</v>
      </c>
      <c r="AD190" s="108">
        <f t="shared" si="890"/>
        <v>620.41</v>
      </c>
      <c r="AE190" s="108">
        <f t="shared" si="891"/>
        <v>0</v>
      </c>
      <c r="AF190" s="108">
        <f t="shared" si="646"/>
        <v>0</v>
      </c>
      <c r="AG190" s="108">
        <f t="shared" si="647"/>
        <v>155</v>
      </c>
      <c r="AH190" s="108">
        <f t="shared" si="648"/>
        <v>0</v>
      </c>
      <c r="AI190" s="127">
        <f t="shared" si="649"/>
        <v>52</v>
      </c>
      <c r="AJ190" s="108">
        <f t="shared" si="650"/>
        <v>0</v>
      </c>
      <c r="AM190" s="108">
        <f t="shared" si="651"/>
        <v>155.1</v>
      </c>
      <c r="AN190" s="108">
        <f t="shared" si="652"/>
        <v>0</v>
      </c>
      <c r="AQ190" s="108">
        <f t="shared" si="653"/>
        <v>310.10000000000002</v>
      </c>
      <c r="AR190" s="108">
        <f t="shared" si="654"/>
        <v>0</v>
      </c>
      <c r="AU190" s="108">
        <f t="shared" si="749"/>
        <v>155.1</v>
      </c>
      <c r="AV190" s="108">
        <f t="shared" si="892"/>
        <v>0</v>
      </c>
      <c r="AY190" s="108">
        <f t="shared" si="633"/>
        <v>517.20000000000005</v>
      </c>
      <c r="AZ190" s="108">
        <f t="shared" si="634"/>
        <v>0</v>
      </c>
      <c r="BA190" s="108">
        <f t="shared" si="635"/>
        <v>517.20000000000005</v>
      </c>
      <c r="BB190" s="139">
        <v>512.33000000000004</v>
      </c>
      <c r="BD190" s="139">
        <f t="shared" si="636"/>
        <v>4.8700000000000045</v>
      </c>
      <c r="BE190" s="139">
        <f t="shared" si="637"/>
        <v>0</v>
      </c>
      <c r="BF190" s="139">
        <f t="shared" si="638"/>
        <v>102.47</v>
      </c>
      <c r="BG190" s="139">
        <f t="shared" si="639"/>
        <v>0</v>
      </c>
      <c r="BH190" s="108">
        <v>45.68</v>
      </c>
      <c r="BI190" s="108">
        <v>0</v>
      </c>
      <c r="BL190" s="108">
        <f t="shared" si="662"/>
        <v>562.88</v>
      </c>
      <c r="BM190" s="108">
        <f t="shared" si="679"/>
        <v>0</v>
      </c>
      <c r="BN190" s="108">
        <f t="shared" si="680"/>
        <v>562.88</v>
      </c>
      <c r="BO190" s="108">
        <v>512.33000000000004</v>
      </c>
      <c r="BP190" s="127"/>
      <c r="BQ190" s="108">
        <f t="shared" si="681"/>
        <v>50.549999999999955</v>
      </c>
      <c r="BR190" s="108">
        <f t="shared" si="682"/>
        <v>0</v>
      </c>
      <c r="BS190" s="108">
        <f t="shared" si="683"/>
        <v>46.58</v>
      </c>
      <c r="BT190" s="108">
        <f t="shared" si="684"/>
        <v>0</v>
      </c>
      <c r="BU190" s="108">
        <v>0</v>
      </c>
      <c r="BV190" s="108">
        <v>0</v>
      </c>
      <c r="BW190" s="109">
        <v>6</v>
      </c>
      <c r="CA190" s="108">
        <v>568.88</v>
      </c>
      <c r="CB190" s="108">
        <v>0</v>
      </c>
      <c r="CC190">
        <v>625.77</v>
      </c>
      <c r="CD190">
        <v>0</v>
      </c>
      <c r="CE190" s="189">
        <v>52</v>
      </c>
      <c r="CF190" s="189">
        <v>0</v>
      </c>
      <c r="CG190" s="189">
        <f t="shared" si="685"/>
        <v>142.22</v>
      </c>
      <c r="CH190" s="189">
        <f t="shared" si="686"/>
        <v>0</v>
      </c>
      <c r="CI190" s="150"/>
      <c r="CJ190" s="150"/>
      <c r="CK190" s="150">
        <v>160</v>
      </c>
      <c r="CL190" s="150"/>
      <c r="CM190" s="150"/>
      <c r="CN190" s="150"/>
      <c r="CO190" s="150">
        <v>680.8</v>
      </c>
      <c r="CP190" s="150"/>
      <c r="CQ190" s="150">
        <f t="shared" si="687"/>
        <v>640</v>
      </c>
      <c r="CR190" s="150">
        <f t="shared" si="688"/>
        <v>0</v>
      </c>
      <c r="CS190" s="150">
        <f t="shared" si="689"/>
        <v>640</v>
      </c>
      <c r="CT190" s="150">
        <f t="shared" si="690"/>
        <v>0</v>
      </c>
      <c r="CU190" s="150">
        <f t="shared" si="884"/>
        <v>640</v>
      </c>
      <c r="CV190" s="150">
        <f t="shared" si="885"/>
        <v>0</v>
      </c>
      <c r="CW190" s="150">
        <f t="shared" si="691"/>
        <v>160</v>
      </c>
      <c r="CX190" s="150">
        <f t="shared" si="691"/>
        <v>0</v>
      </c>
      <c r="CY190" s="150"/>
      <c r="CZ190" s="150"/>
      <c r="DA190" s="150">
        <f t="shared" si="692"/>
        <v>372</v>
      </c>
      <c r="DB190" s="150">
        <f t="shared" si="693"/>
        <v>0</v>
      </c>
      <c r="DC190" s="150">
        <v>372</v>
      </c>
      <c r="DD190" s="150">
        <v>0</v>
      </c>
      <c r="DE190" s="150">
        <f t="shared" si="694"/>
        <v>0</v>
      </c>
      <c r="DF190" s="150">
        <f t="shared" si="695"/>
        <v>0</v>
      </c>
      <c r="DG190" s="150">
        <f t="shared" si="886"/>
        <v>160</v>
      </c>
      <c r="DH190" s="150">
        <f t="shared" si="886"/>
        <v>0</v>
      </c>
      <c r="DI190" s="150">
        <f t="shared" si="887"/>
        <v>160</v>
      </c>
      <c r="DJ190" s="150">
        <f t="shared" si="887"/>
        <v>0</v>
      </c>
      <c r="DK190" s="104">
        <f t="shared" si="839"/>
        <v>108</v>
      </c>
      <c r="DL190" s="104">
        <f t="shared" si="840"/>
        <v>0</v>
      </c>
      <c r="DM190" s="104">
        <f t="shared" si="663"/>
        <v>108</v>
      </c>
      <c r="DN190" s="104">
        <f t="shared" si="664"/>
        <v>0</v>
      </c>
      <c r="DO190" s="104">
        <v>640</v>
      </c>
      <c r="DQ190" s="104">
        <v>736</v>
      </c>
    </row>
    <row r="191" spans="1:126" ht="18.75">
      <c r="A191" s="18"/>
      <c r="B191" s="18" t="s">
        <v>307</v>
      </c>
      <c r="C191" s="19" t="s">
        <v>89</v>
      </c>
      <c r="D191" s="20" t="s">
        <v>304</v>
      </c>
      <c r="E191" s="21" t="s">
        <v>308</v>
      </c>
      <c r="F191" s="22">
        <v>4887.82</v>
      </c>
      <c r="G191" s="22">
        <v>589.26</v>
      </c>
      <c r="H191" s="22">
        <v>5125.0499999999993</v>
      </c>
      <c r="I191" s="22">
        <v>609.26</v>
      </c>
      <c r="J191" s="88">
        <f t="shared" ref="J191:AA191" si="895">+J188+J189+J190</f>
        <v>5886.5300000000007</v>
      </c>
      <c r="K191" s="88">
        <f t="shared" si="895"/>
        <v>137</v>
      </c>
      <c r="L191" s="88">
        <f t="shared" si="895"/>
        <v>0.1</v>
      </c>
      <c r="M191" s="88">
        <f t="shared" si="895"/>
        <v>6023.63</v>
      </c>
      <c r="N191" s="88">
        <f t="shared" si="895"/>
        <v>0</v>
      </c>
      <c r="O191" s="88">
        <f t="shared" si="895"/>
        <v>0</v>
      </c>
      <c r="P191" s="88">
        <f t="shared" si="895"/>
        <v>0</v>
      </c>
      <c r="Q191" s="88">
        <f t="shared" si="895"/>
        <v>0</v>
      </c>
      <c r="R191" s="88">
        <f t="shared" si="895"/>
        <v>6023.63</v>
      </c>
      <c r="S191" s="88">
        <f t="shared" si="895"/>
        <v>300</v>
      </c>
      <c r="T191" s="88">
        <f t="shared" si="895"/>
        <v>0</v>
      </c>
      <c r="U191" s="88">
        <f t="shared" si="895"/>
        <v>0</v>
      </c>
      <c r="V191" s="88">
        <f t="shared" si="895"/>
        <v>5423.84</v>
      </c>
      <c r="W191" s="88">
        <f t="shared" si="895"/>
        <v>629.17999999999995</v>
      </c>
      <c r="X191" s="88">
        <f t="shared" si="895"/>
        <v>599.79000000000008</v>
      </c>
      <c r="Y191" s="88">
        <f t="shared" si="895"/>
        <v>-329.17999999999995</v>
      </c>
      <c r="Z191" s="88">
        <f t="shared" si="895"/>
        <v>5423.84</v>
      </c>
      <c r="AA191" s="88">
        <f t="shared" si="895"/>
        <v>0</v>
      </c>
      <c r="AB191" s="22">
        <f t="shared" si="644"/>
        <v>5423.84</v>
      </c>
      <c r="AC191" s="109">
        <f t="shared" si="645"/>
        <v>0</v>
      </c>
      <c r="AD191" s="22">
        <f t="shared" ref="AD191:CO191" si="896">+AD188+AD189+AD190</f>
        <v>5423.84</v>
      </c>
      <c r="AE191" s="22">
        <f t="shared" si="896"/>
        <v>300</v>
      </c>
      <c r="AF191" s="22">
        <f t="shared" si="896"/>
        <v>270.66000000000003</v>
      </c>
      <c r="AG191" s="22">
        <f t="shared" si="896"/>
        <v>1356</v>
      </c>
      <c r="AH191" s="22">
        <f t="shared" si="896"/>
        <v>75</v>
      </c>
      <c r="AI191" s="118">
        <f t="shared" si="896"/>
        <v>452</v>
      </c>
      <c r="AJ191" s="22">
        <f t="shared" si="896"/>
        <v>25</v>
      </c>
      <c r="AK191" s="22">
        <f t="shared" si="896"/>
        <v>0</v>
      </c>
      <c r="AL191" s="22">
        <f t="shared" si="896"/>
        <v>140</v>
      </c>
      <c r="AM191" s="22">
        <f t="shared" si="896"/>
        <v>1355.96</v>
      </c>
      <c r="AN191" s="22">
        <f t="shared" si="896"/>
        <v>73.05</v>
      </c>
      <c r="AO191" s="22">
        <f t="shared" si="896"/>
        <v>0</v>
      </c>
      <c r="AP191" s="22">
        <f t="shared" si="896"/>
        <v>0</v>
      </c>
      <c r="AQ191" s="22">
        <f t="shared" si="896"/>
        <v>2711.9599999999996</v>
      </c>
      <c r="AR191" s="22">
        <f t="shared" si="896"/>
        <v>288.05</v>
      </c>
      <c r="AS191" s="22">
        <f t="shared" si="896"/>
        <v>0</v>
      </c>
      <c r="AT191" s="22">
        <f t="shared" si="896"/>
        <v>0</v>
      </c>
      <c r="AU191" s="22">
        <f t="shared" si="896"/>
        <v>1355.96</v>
      </c>
      <c r="AV191" s="22">
        <f t="shared" si="896"/>
        <v>31.85</v>
      </c>
      <c r="AW191" s="22">
        <f t="shared" si="896"/>
        <v>0</v>
      </c>
      <c r="AX191" s="22">
        <f t="shared" si="896"/>
        <v>0</v>
      </c>
      <c r="AY191" s="22">
        <f t="shared" si="896"/>
        <v>4519.92</v>
      </c>
      <c r="AZ191" s="22">
        <f t="shared" si="896"/>
        <v>344.90000000000003</v>
      </c>
      <c r="BA191" s="22">
        <f t="shared" si="896"/>
        <v>4864.82</v>
      </c>
      <c r="BB191" s="22">
        <f t="shared" si="896"/>
        <v>4334.16</v>
      </c>
      <c r="BC191" s="22">
        <f t="shared" si="896"/>
        <v>290.13</v>
      </c>
      <c r="BD191" s="22">
        <f t="shared" si="896"/>
        <v>185.75999999999988</v>
      </c>
      <c r="BE191" s="22">
        <f t="shared" si="896"/>
        <v>54.770000000000039</v>
      </c>
      <c r="BF191" s="22">
        <f t="shared" si="896"/>
        <v>866.83</v>
      </c>
      <c r="BG191" s="118">
        <f t="shared" si="896"/>
        <v>58.03</v>
      </c>
      <c r="BH191" s="118">
        <f t="shared" si="896"/>
        <v>329.34999999999997</v>
      </c>
      <c r="BI191" s="118">
        <f t="shared" si="896"/>
        <v>0</v>
      </c>
      <c r="BJ191" s="118">
        <f t="shared" si="896"/>
        <v>0</v>
      </c>
      <c r="BK191" s="118">
        <f t="shared" si="896"/>
        <v>0</v>
      </c>
      <c r="BL191" s="118">
        <f t="shared" si="896"/>
        <v>4849.2699999999995</v>
      </c>
      <c r="BM191" s="118">
        <f t="shared" si="896"/>
        <v>344.90000000000003</v>
      </c>
      <c r="BN191" s="118">
        <f t="shared" si="896"/>
        <v>5194.17</v>
      </c>
      <c r="BO191" s="118">
        <f t="shared" si="896"/>
        <v>4559.12</v>
      </c>
      <c r="BP191" s="118">
        <f t="shared" si="896"/>
        <v>299.08</v>
      </c>
      <c r="BQ191" s="22">
        <f t="shared" si="896"/>
        <v>290.14999999999986</v>
      </c>
      <c r="BR191" s="22">
        <f t="shared" si="896"/>
        <v>45.82000000000005</v>
      </c>
      <c r="BS191" s="22">
        <f t="shared" si="896"/>
        <v>414.46999999999997</v>
      </c>
      <c r="BT191" s="22">
        <f t="shared" si="896"/>
        <v>27.19</v>
      </c>
      <c r="BU191" s="22">
        <f t="shared" si="896"/>
        <v>203.22999999999993</v>
      </c>
      <c r="BV191" s="22">
        <f t="shared" si="896"/>
        <v>0</v>
      </c>
      <c r="BW191" s="22">
        <f t="shared" si="896"/>
        <v>232.62</v>
      </c>
      <c r="BX191" s="22">
        <f t="shared" si="896"/>
        <v>0</v>
      </c>
      <c r="BY191" s="22">
        <f t="shared" si="896"/>
        <v>0</v>
      </c>
      <c r="BZ191" s="22">
        <f t="shared" si="896"/>
        <v>0</v>
      </c>
      <c r="CA191" s="22">
        <f t="shared" si="896"/>
        <v>5285.12</v>
      </c>
      <c r="CB191" s="22">
        <f t="shared" si="896"/>
        <v>344.90000000000003</v>
      </c>
      <c r="CC191" s="22">
        <f t="shared" si="896"/>
        <v>5813.630000000001</v>
      </c>
      <c r="CD191" s="118">
        <f t="shared" si="896"/>
        <v>396.64</v>
      </c>
      <c r="CE191" s="190">
        <f t="shared" si="896"/>
        <v>485</v>
      </c>
      <c r="CF191" s="190">
        <f t="shared" si="896"/>
        <v>33</v>
      </c>
      <c r="CG191" s="190">
        <f t="shared" si="896"/>
        <v>1321.28</v>
      </c>
      <c r="CH191" s="190">
        <f t="shared" si="896"/>
        <v>86.23</v>
      </c>
      <c r="CI191" s="190">
        <f t="shared" si="896"/>
        <v>0</v>
      </c>
      <c r="CJ191" s="190">
        <f t="shared" si="896"/>
        <v>0</v>
      </c>
      <c r="CK191" s="190">
        <f t="shared" si="896"/>
        <v>1440</v>
      </c>
      <c r="CL191" s="190">
        <f t="shared" si="896"/>
        <v>95</v>
      </c>
      <c r="CM191" s="190">
        <f t="shared" si="896"/>
        <v>55</v>
      </c>
      <c r="CN191" s="190">
        <f t="shared" si="896"/>
        <v>0</v>
      </c>
      <c r="CO191" s="190">
        <f t="shared" si="896"/>
        <v>5947.1600000000008</v>
      </c>
      <c r="CP191" s="190">
        <f t="shared" ref="CP191:DS191" si="897">+CP188+CP189+CP190</f>
        <v>460</v>
      </c>
      <c r="CQ191" s="190">
        <f t="shared" si="897"/>
        <v>5760</v>
      </c>
      <c r="CR191" s="190">
        <f t="shared" si="897"/>
        <v>380</v>
      </c>
      <c r="CS191" s="190">
        <f t="shared" si="897"/>
        <v>5600</v>
      </c>
      <c r="CT191" s="190">
        <f t="shared" si="897"/>
        <v>380</v>
      </c>
      <c r="CU191" s="190">
        <f t="shared" si="897"/>
        <v>5600</v>
      </c>
      <c r="CV191" s="190">
        <f t="shared" si="897"/>
        <v>380</v>
      </c>
      <c r="CW191" s="190">
        <f t="shared" si="897"/>
        <v>1435</v>
      </c>
      <c r="CX191" s="190">
        <f t="shared" si="897"/>
        <v>120</v>
      </c>
      <c r="CY191" s="190">
        <f t="shared" si="897"/>
        <v>0</v>
      </c>
      <c r="CZ191" s="190">
        <f t="shared" si="897"/>
        <v>0</v>
      </c>
      <c r="DA191" s="190">
        <f t="shared" si="897"/>
        <v>3415</v>
      </c>
      <c r="DB191" s="190">
        <f t="shared" si="897"/>
        <v>248</v>
      </c>
      <c r="DC191" s="190">
        <f t="shared" si="897"/>
        <v>3419.64</v>
      </c>
      <c r="DD191" s="190">
        <f t="shared" si="897"/>
        <v>243.42</v>
      </c>
      <c r="DE191" s="190">
        <f t="shared" si="897"/>
        <v>-4.6399999999998727</v>
      </c>
      <c r="DF191" s="190">
        <f t="shared" si="897"/>
        <v>4.5800000000000125</v>
      </c>
      <c r="DG191" s="190">
        <f t="shared" si="897"/>
        <v>1400</v>
      </c>
      <c r="DH191" s="190">
        <f t="shared" si="897"/>
        <v>95</v>
      </c>
      <c r="DI191" s="190">
        <f t="shared" si="897"/>
        <v>1404.6399999999999</v>
      </c>
      <c r="DJ191" s="190">
        <f t="shared" si="897"/>
        <v>90.419999999999987</v>
      </c>
      <c r="DK191" s="104">
        <f t="shared" si="839"/>
        <v>1030.3600000000001</v>
      </c>
      <c r="DL191" s="104">
        <f t="shared" si="840"/>
        <v>241.58</v>
      </c>
      <c r="DM191" s="104">
        <f t="shared" si="663"/>
        <v>780.36000000000013</v>
      </c>
      <c r="DN191" s="104">
        <f t="shared" si="664"/>
        <v>41.580000000000013</v>
      </c>
      <c r="DO191" s="22">
        <f t="shared" si="897"/>
        <v>5850</v>
      </c>
      <c r="DP191" s="22">
        <f t="shared" si="897"/>
        <v>580</v>
      </c>
      <c r="DQ191" s="22">
        <f t="shared" si="897"/>
        <v>6470</v>
      </c>
      <c r="DR191" s="22">
        <f t="shared" si="897"/>
        <v>440</v>
      </c>
      <c r="DS191" s="22">
        <f t="shared" si="897"/>
        <v>0</v>
      </c>
      <c r="DT191" s="22">
        <f t="shared" ref="DT191" si="898">+DT188+DT189+DT190</f>
        <v>0</v>
      </c>
    </row>
    <row r="192" spans="1:126" ht="37.5">
      <c r="A192" s="18">
        <v>5</v>
      </c>
      <c r="B192" s="18" t="s">
        <v>309</v>
      </c>
      <c r="C192" s="19" t="s">
        <v>293</v>
      </c>
      <c r="D192" s="20" t="s">
        <v>310</v>
      </c>
      <c r="E192" s="21" t="s">
        <v>311</v>
      </c>
      <c r="F192" s="81">
        <v>3921.0400000000004</v>
      </c>
      <c r="G192" s="81">
        <v>800.00000000000011</v>
      </c>
      <c r="H192" s="81">
        <v>3941.0400000000004</v>
      </c>
      <c r="I192" s="22">
        <v>800.00000000000011</v>
      </c>
      <c r="J192" s="88">
        <v>4200</v>
      </c>
      <c r="K192" s="88">
        <v>5</v>
      </c>
      <c r="L192" s="88">
        <v>0</v>
      </c>
      <c r="M192" s="88">
        <f>+L192+K192+J192</f>
        <v>4205</v>
      </c>
      <c r="N192" s="88">
        <v>0</v>
      </c>
      <c r="O192" s="88">
        <v>0</v>
      </c>
      <c r="P192" s="88">
        <v>0</v>
      </c>
      <c r="Q192" s="88">
        <f>+P192+O192+N192</f>
        <v>0</v>
      </c>
      <c r="R192" s="88">
        <f>+Q192+M192</f>
        <v>4205</v>
      </c>
      <c r="S192" s="88">
        <v>800</v>
      </c>
      <c r="V192" s="22">
        <f t="shared" ref="V192:V193" si="899">ROUND(H192*1.0583,2)</f>
        <v>4170.8</v>
      </c>
      <c r="W192" s="22">
        <f t="shared" ref="W192:W193" si="900">ROUND(I192*1.0327,2)</f>
        <v>826.16</v>
      </c>
      <c r="X192" s="22">
        <f t="shared" si="642"/>
        <v>34.199999999999818</v>
      </c>
      <c r="Y192" s="22">
        <f t="shared" si="643"/>
        <v>-26.159999999999968</v>
      </c>
      <c r="Z192" s="22">
        <v>4170.8</v>
      </c>
      <c r="AA192" s="22"/>
      <c r="AB192" s="22">
        <f t="shared" si="644"/>
        <v>4170.8</v>
      </c>
      <c r="AC192" s="109">
        <f t="shared" si="645"/>
        <v>0</v>
      </c>
      <c r="AD192" s="22">
        <f t="shared" ref="AD192:AD193" si="901">IF(X192&gt;0,V192,R192)</f>
        <v>4170.8</v>
      </c>
      <c r="AE192" s="22">
        <f t="shared" ref="AE192:AE193" si="902">IF(Y192&gt;0,W192,S192)</f>
        <v>800</v>
      </c>
      <c r="AF192" s="22">
        <f t="shared" si="646"/>
        <v>721.76</v>
      </c>
      <c r="AG192" s="108">
        <f t="shared" si="647"/>
        <v>1043</v>
      </c>
      <c r="AH192" s="108">
        <f t="shared" si="648"/>
        <v>200</v>
      </c>
      <c r="AI192" s="127">
        <f t="shared" si="649"/>
        <v>348</v>
      </c>
      <c r="AJ192" s="108">
        <f t="shared" si="650"/>
        <v>67</v>
      </c>
      <c r="AM192" s="108">
        <f t="shared" si="651"/>
        <v>1042.7</v>
      </c>
      <c r="AN192" s="108">
        <f t="shared" si="652"/>
        <v>194.8</v>
      </c>
      <c r="AQ192" s="108">
        <f t="shared" si="653"/>
        <v>2085.6999999999998</v>
      </c>
      <c r="AR192" s="108">
        <f t="shared" si="654"/>
        <v>394.8</v>
      </c>
      <c r="AU192" s="108">
        <f t="shared" si="749"/>
        <v>1042.7</v>
      </c>
      <c r="AV192" s="108">
        <f t="shared" si="892"/>
        <v>200</v>
      </c>
      <c r="AY192" s="108">
        <f t="shared" ref="AY192:AY255" si="903">+AQ192+AS192+AU192+AW192+AI192</f>
        <v>3476.3999999999996</v>
      </c>
      <c r="AZ192" s="108">
        <f t="shared" ref="AZ192:AZ255" si="904">+AR192+AT192+AV192+AX192+AJ192</f>
        <v>661.8</v>
      </c>
      <c r="BA192" s="108">
        <f t="shared" ref="BA192:BA255" si="905">+AY192+AZ192</f>
        <v>4138.2</v>
      </c>
      <c r="BB192" s="139">
        <v>3411.43</v>
      </c>
      <c r="BC192" s="139">
        <v>616.38</v>
      </c>
      <c r="BD192" s="139">
        <f t="shared" ref="BD192:BD255" si="906">AY192-BB192</f>
        <v>64.9699999999998</v>
      </c>
      <c r="BE192" s="139">
        <f t="shared" ref="BE192:BE255" si="907">AZ192-BC192</f>
        <v>45.419999999999959</v>
      </c>
      <c r="BF192" s="139">
        <f t="shared" ref="BF192:BF255" si="908">ROUND(BB192/10*2,2)</f>
        <v>682.29</v>
      </c>
      <c r="BG192" s="139">
        <f t="shared" ref="BG192:BG255" si="909">ROUND(BC192/10*2,2)</f>
        <v>123.28</v>
      </c>
      <c r="BH192" s="108">
        <v>308.66000000000003</v>
      </c>
      <c r="BI192" s="108">
        <v>38.93</v>
      </c>
      <c r="BK192" s="108">
        <v>150</v>
      </c>
      <c r="BL192" s="108">
        <f t="shared" si="662"/>
        <v>3785.0599999999995</v>
      </c>
      <c r="BM192" s="108">
        <f t="shared" si="679"/>
        <v>850.7299999999999</v>
      </c>
      <c r="BN192" s="108">
        <f t="shared" si="680"/>
        <v>4635.7899999999991</v>
      </c>
      <c r="BO192" s="108">
        <v>3767.88</v>
      </c>
      <c r="BP192" s="127">
        <v>781.27</v>
      </c>
      <c r="BQ192" s="108">
        <f t="shared" si="681"/>
        <v>17.179999999999382</v>
      </c>
      <c r="BR192" s="108">
        <f t="shared" si="682"/>
        <v>69.459999999999923</v>
      </c>
      <c r="BS192" s="108">
        <f t="shared" si="683"/>
        <v>342.53</v>
      </c>
      <c r="BT192" s="108">
        <f t="shared" si="684"/>
        <v>71.02</v>
      </c>
      <c r="BU192" s="108">
        <v>325.35000000000002</v>
      </c>
      <c r="BV192" s="108">
        <v>0</v>
      </c>
      <c r="BW192" s="109">
        <v>14.65</v>
      </c>
      <c r="BX192" s="108">
        <f>150+74.27</f>
        <v>224.26999999999998</v>
      </c>
      <c r="CA192" s="108">
        <v>4125.0599999999995</v>
      </c>
      <c r="CB192" s="108">
        <v>1075</v>
      </c>
      <c r="CC192">
        <v>4537.57</v>
      </c>
      <c r="CD192">
        <v>1236.25</v>
      </c>
      <c r="CE192" s="189">
        <v>378</v>
      </c>
      <c r="CF192" s="189">
        <v>103</v>
      </c>
      <c r="CG192" s="189">
        <f t="shared" si="685"/>
        <v>1031.27</v>
      </c>
      <c r="CH192" s="189">
        <f t="shared" si="686"/>
        <v>268.75</v>
      </c>
      <c r="CI192" s="150"/>
      <c r="CJ192" s="150"/>
      <c r="CK192" s="150">
        <v>1100</v>
      </c>
      <c r="CL192" s="150">
        <v>250</v>
      </c>
      <c r="CM192" s="150"/>
      <c r="CN192" s="150"/>
      <c r="CO192" s="150">
        <v>4500</v>
      </c>
      <c r="CP192" s="150">
        <v>900</v>
      </c>
      <c r="CQ192" s="150">
        <f t="shared" si="687"/>
        <v>4400</v>
      </c>
      <c r="CR192" s="150">
        <f t="shared" si="688"/>
        <v>1000</v>
      </c>
      <c r="CS192" s="150">
        <f t="shared" si="689"/>
        <v>4400</v>
      </c>
      <c r="CT192" s="150">
        <f t="shared" si="690"/>
        <v>900</v>
      </c>
      <c r="CU192" s="150">
        <f t="shared" ref="CU192" si="910">IF(CQ192&lt;CS192,CQ192,CS192)</f>
        <v>4400</v>
      </c>
      <c r="CV192" s="150">
        <f t="shared" ref="CV192" si="911">IF(CR192&lt;CT192,CR192,CT192)</f>
        <v>900</v>
      </c>
      <c r="CW192" s="150">
        <f t="shared" si="691"/>
        <v>1100</v>
      </c>
      <c r="CX192" s="150">
        <f t="shared" si="691"/>
        <v>225</v>
      </c>
      <c r="CY192" s="150"/>
      <c r="CZ192" s="150">
        <v>75</v>
      </c>
      <c r="DA192" s="150">
        <f t="shared" si="692"/>
        <v>2578</v>
      </c>
      <c r="DB192" s="150">
        <f t="shared" si="693"/>
        <v>653</v>
      </c>
      <c r="DC192" s="150">
        <v>2424.25</v>
      </c>
      <c r="DD192" s="150">
        <v>652.05999999999995</v>
      </c>
      <c r="DE192" s="150">
        <f t="shared" si="694"/>
        <v>153.75</v>
      </c>
      <c r="DF192" s="150">
        <f t="shared" si="695"/>
        <v>0.94000000000005457</v>
      </c>
      <c r="DG192" s="150">
        <f t="shared" ref="DG192:DH194" si="912">ROUND(0.25*(MIN(CU192,DO192)),2)</f>
        <v>1100</v>
      </c>
      <c r="DH192" s="150">
        <f t="shared" si="912"/>
        <v>225</v>
      </c>
      <c r="DI192" s="150">
        <f t="shared" ref="DI192:DJ194" si="913">+DG192-DE192</f>
        <v>946.25</v>
      </c>
      <c r="DJ192" s="150">
        <f t="shared" si="913"/>
        <v>224.05999999999995</v>
      </c>
      <c r="DK192" s="104">
        <f t="shared" si="839"/>
        <v>875.75</v>
      </c>
      <c r="DL192" s="104">
        <f t="shared" si="840"/>
        <v>222.94000000000005</v>
      </c>
      <c r="DM192" s="104">
        <f t="shared" si="663"/>
        <v>875.75</v>
      </c>
      <c r="DN192" s="104">
        <f t="shared" si="664"/>
        <v>22.940000000000055</v>
      </c>
      <c r="DO192" s="104">
        <v>4400</v>
      </c>
      <c r="DP192" s="104">
        <v>1100</v>
      </c>
      <c r="DQ192" s="104">
        <v>4500</v>
      </c>
      <c r="DR192" s="104">
        <v>600</v>
      </c>
    </row>
    <row r="193" spans="1:128" ht="18.75">
      <c r="A193" s="13">
        <v>6</v>
      </c>
      <c r="B193" s="13"/>
      <c r="C193" s="14"/>
      <c r="D193" s="15" t="s">
        <v>312</v>
      </c>
      <c r="E193" s="16"/>
      <c r="F193" s="81">
        <v>2552.2200000000003</v>
      </c>
      <c r="G193" s="81">
        <v>638.61</v>
      </c>
      <c r="H193" s="81">
        <v>2525.8300000000004</v>
      </c>
      <c r="I193" s="17">
        <v>665.00000000000011</v>
      </c>
      <c r="J193" s="86">
        <v>3165</v>
      </c>
      <c r="K193" s="87">
        <v>0</v>
      </c>
      <c r="L193" s="87">
        <v>0</v>
      </c>
      <c r="M193" s="87">
        <f t="shared" ref="M193:M194" si="914">J193+K193+L193</f>
        <v>3165</v>
      </c>
      <c r="N193" s="87">
        <v>0</v>
      </c>
      <c r="O193" s="87">
        <v>0</v>
      </c>
      <c r="P193" s="87">
        <v>0</v>
      </c>
      <c r="Q193" s="87">
        <f t="shared" ref="Q193:Q194" si="915">N193+O193+P193</f>
        <v>0</v>
      </c>
      <c r="R193" s="87">
        <f t="shared" ref="R193:R194" si="916">+Q193+M193</f>
        <v>3165</v>
      </c>
      <c r="S193" s="87">
        <v>850</v>
      </c>
      <c r="V193" s="17">
        <f t="shared" si="899"/>
        <v>2673.09</v>
      </c>
      <c r="W193" s="17">
        <f t="shared" si="900"/>
        <v>686.75</v>
      </c>
      <c r="X193" s="108">
        <f t="shared" ref="X193:X255" si="917">R193-V193</f>
        <v>491.90999999999985</v>
      </c>
      <c r="Y193" s="108">
        <f t="shared" ref="Y193:Y255" si="918">S193-W193</f>
        <v>163.25</v>
      </c>
      <c r="Z193" s="108">
        <v>2673.09</v>
      </c>
      <c r="AA193" s="108"/>
      <c r="AB193" s="108">
        <f t="shared" ref="AB193:AB256" si="919">Z193+AA193</f>
        <v>2673.09</v>
      </c>
      <c r="AC193" s="109">
        <f t="shared" ref="AC193:AC256" si="920">AD193-AB193</f>
        <v>0</v>
      </c>
      <c r="AD193" s="108">
        <f t="shared" si="901"/>
        <v>2673.09</v>
      </c>
      <c r="AE193" s="108">
        <f t="shared" si="902"/>
        <v>686.75</v>
      </c>
      <c r="AF193" s="108">
        <f t="shared" ref="AF193:AF255" si="921">ROUND(S193*0.9022,2)</f>
        <v>766.87</v>
      </c>
      <c r="AG193" s="108">
        <f t="shared" ref="AG193:AG255" si="922">ROUND(AD193/4,0)</f>
        <v>668</v>
      </c>
      <c r="AH193" s="108">
        <f t="shared" ref="AH193:AH255" si="923">ROUND(AE193/4,0)</f>
        <v>172</v>
      </c>
      <c r="AI193" s="127">
        <f t="shared" ref="AI193:AI255" si="924">ROUND(AD193/12,0)</f>
        <v>223</v>
      </c>
      <c r="AJ193" s="108">
        <f t="shared" ref="AJ193:AJ255" si="925">ROUND(AE193/12,0)</f>
        <v>57</v>
      </c>
      <c r="AM193" s="108">
        <f t="shared" ref="AM193:AM255" si="926">ROUND(AD193*25%,2)</f>
        <v>668.27</v>
      </c>
      <c r="AN193" s="108">
        <f t="shared" ref="AN193:AN255" si="927">ROUND(AE193*24.35%,2)</f>
        <v>167.22</v>
      </c>
      <c r="AQ193" s="108">
        <f t="shared" ref="AQ193:AQ255" si="928">+AM193+AK193+AG193+AO193</f>
        <v>1336.27</v>
      </c>
      <c r="AR193" s="108">
        <f t="shared" ref="AR193:AR255" si="929">+AN193+AL193+AH193+AP193</f>
        <v>339.22</v>
      </c>
      <c r="AU193" s="108">
        <f t="shared" si="749"/>
        <v>668.27</v>
      </c>
      <c r="AV193" s="108">
        <f t="shared" si="892"/>
        <v>171.69</v>
      </c>
      <c r="AY193" s="108">
        <f t="shared" si="903"/>
        <v>2227.54</v>
      </c>
      <c r="AZ193" s="108">
        <f t="shared" si="904"/>
        <v>567.91000000000008</v>
      </c>
      <c r="BA193" s="108">
        <f t="shared" si="905"/>
        <v>2795.45</v>
      </c>
      <c r="BB193" s="139">
        <v>2120.41</v>
      </c>
      <c r="BC193" s="139">
        <v>591.46</v>
      </c>
      <c r="BD193" s="139">
        <f t="shared" si="906"/>
        <v>107.13000000000011</v>
      </c>
      <c r="BE193" s="139">
        <f t="shared" si="907"/>
        <v>-23.549999999999955</v>
      </c>
      <c r="BF193" s="139">
        <f t="shared" si="908"/>
        <v>424.08</v>
      </c>
      <c r="BG193" s="139">
        <f t="shared" si="909"/>
        <v>118.29</v>
      </c>
      <c r="BH193" s="143">
        <f>158.48+8.65</f>
        <v>167.13</v>
      </c>
      <c r="BI193" s="108">
        <v>60</v>
      </c>
      <c r="BL193" s="108">
        <f t="shared" si="662"/>
        <v>2394.67</v>
      </c>
      <c r="BM193" s="108">
        <f t="shared" si="679"/>
        <v>627.91000000000008</v>
      </c>
      <c r="BN193" s="108">
        <f t="shared" si="680"/>
        <v>3022.58</v>
      </c>
      <c r="BO193" s="108">
        <v>2341.09</v>
      </c>
      <c r="BP193" s="127">
        <v>629.4</v>
      </c>
      <c r="BQ193" s="108">
        <f t="shared" si="681"/>
        <v>53.579999999999927</v>
      </c>
      <c r="BR193" s="108">
        <f t="shared" si="682"/>
        <v>-1.4899999999998954</v>
      </c>
      <c r="BS193" s="108">
        <f t="shared" si="683"/>
        <v>212.83</v>
      </c>
      <c r="BT193" s="108">
        <f t="shared" si="684"/>
        <v>57.22</v>
      </c>
      <c r="BU193" s="143">
        <f>BS193-BQ193+21.47+8.65</f>
        <v>189.37000000000009</v>
      </c>
      <c r="BV193" s="108">
        <f>ROUND(BT193-BR193,2)</f>
        <v>58.71</v>
      </c>
      <c r="BW193" s="109">
        <v>114.4</v>
      </c>
      <c r="CA193" s="108">
        <v>2698.44</v>
      </c>
      <c r="CB193" s="108">
        <v>686.62000000000012</v>
      </c>
      <c r="CC193">
        <v>2968.28</v>
      </c>
      <c r="CD193">
        <v>789.61</v>
      </c>
      <c r="CE193" s="189">
        <v>247</v>
      </c>
      <c r="CF193" s="189">
        <v>66</v>
      </c>
      <c r="CG193" s="189">
        <f t="shared" si="685"/>
        <v>674.61</v>
      </c>
      <c r="CH193" s="189">
        <f t="shared" si="686"/>
        <v>171.66</v>
      </c>
      <c r="CI193" s="150"/>
      <c r="CJ193" s="150"/>
      <c r="CK193" s="150">
        <v>737</v>
      </c>
      <c r="CL193" s="150">
        <v>50</v>
      </c>
      <c r="CM193" s="150"/>
      <c r="CN193" s="150"/>
      <c r="CO193" s="150">
        <v>3321.28</v>
      </c>
      <c r="CP193" s="150">
        <v>841.89</v>
      </c>
      <c r="CQ193" s="150">
        <f t="shared" si="687"/>
        <v>2948</v>
      </c>
      <c r="CR193" s="150">
        <f t="shared" si="688"/>
        <v>200</v>
      </c>
      <c r="CS193" s="150">
        <f t="shared" si="689"/>
        <v>2948</v>
      </c>
      <c r="CT193" s="150">
        <f t="shared" si="690"/>
        <v>200</v>
      </c>
      <c r="CU193" s="150">
        <v>3005</v>
      </c>
      <c r="CV193" s="150">
        <v>460</v>
      </c>
      <c r="CW193" s="150">
        <f t="shared" si="691"/>
        <v>751.25</v>
      </c>
      <c r="CX193" s="150">
        <f>ROUND(CV193*25%,2)-15</f>
        <v>100</v>
      </c>
      <c r="CY193" s="150"/>
      <c r="CZ193" s="150"/>
      <c r="DA193" s="150">
        <f t="shared" si="692"/>
        <v>1735.25</v>
      </c>
      <c r="DB193" s="150">
        <f t="shared" si="693"/>
        <v>216</v>
      </c>
      <c r="DC193" s="150">
        <v>1631.66</v>
      </c>
      <c r="DD193" s="150">
        <v>145.27000000000001</v>
      </c>
      <c r="DE193" s="150">
        <f t="shared" si="694"/>
        <v>103.58999999999992</v>
      </c>
      <c r="DF193" s="150">
        <f t="shared" si="695"/>
        <v>70.72999999999999</v>
      </c>
      <c r="DG193" s="150">
        <f t="shared" si="912"/>
        <v>751.25</v>
      </c>
      <c r="DH193" s="150">
        <f t="shared" si="912"/>
        <v>115</v>
      </c>
      <c r="DI193" s="150">
        <f t="shared" si="913"/>
        <v>647.66000000000008</v>
      </c>
      <c r="DJ193" s="150">
        <f t="shared" si="913"/>
        <v>44.27000000000001</v>
      </c>
      <c r="DK193" s="104">
        <f t="shared" si="839"/>
        <v>622.08999999999992</v>
      </c>
      <c r="DL193" s="104">
        <f t="shared" si="840"/>
        <v>199.73</v>
      </c>
      <c r="DM193" s="104">
        <f t="shared" si="663"/>
        <v>622.08999999999992</v>
      </c>
      <c r="DN193" s="104">
        <f t="shared" si="664"/>
        <v>199.73</v>
      </c>
      <c r="DO193" s="104">
        <v>3005</v>
      </c>
      <c r="DP193" s="104">
        <v>460</v>
      </c>
      <c r="DQ193" s="104">
        <v>3456</v>
      </c>
      <c r="DR193" s="104">
        <v>550</v>
      </c>
    </row>
    <row r="194" spans="1:128" ht="18.75">
      <c r="A194" s="13">
        <v>7</v>
      </c>
      <c r="B194" s="13"/>
      <c r="C194" s="14"/>
      <c r="D194" s="15" t="s">
        <v>313</v>
      </c>
      <c r="E194" s="16"/>
      <c r="F194" s="81">
        <v>444.91999999999996</v>
      </c>
      <c r="G194" s="81">
        <v>0</v>
      </c>
      <c r="H194" s="81">
        <v>444.91999999999996</v>
      </c>
      <c r="I194" s="17">
        <v>0</v>
      </c>
      <c r="J194" s="86">
        <v>590.29999999999995</v>
      </c>
      <c r="K194" s="87">
        <v>0</v>
      </c>
      <c r="L194" s="87">
        <v>0</v>
      </c>
      <c r="M194" s="87">
        <f t="shared" si="914"/>
        <v>590.29999999999995</v>
      </c>
      <c r="N194" s="87">
        <v>0</v>
      </c>
      <c r="O194" s="87">
        <v>0</v>
      </c>
      <c r="P194" s="87">
        <v>0</v>
      </c>
      <c r="Q194" s="87">
        <f t="shared" si="915"/>
        <v>0</v>
      </c>
      <c r="R194" s="87">
        <f t="shared" si="916"/>
        <v>590.29999999999995</v>
      </c>
      <c r="S194" s="87">
        <v>0</v>
      </c>
      <c r="V194" s="17">
        <f t="shared" ref="V194" si="930">ROUND(H194*1.0583,2)</f>
        <v>470.86</v>
      </c>
      <c r="W194" s="17">
        <f t="shared" ref="W194" si="931">ROUND(I194*1.0327,2)</f>
        <v>0</v>
      </c>
      <c r="X194" s="108">
        <f t="shared" si="917"/>
        <v>119.43999999999994</v>
      </c>
      <c r="Y194" s="108">
        <f t="shared" si="918"/>
        <v>0</v>
      </c>
      <c r="Z194" s="108">
        <v>470.86</v>
      </c>
      <c r="AA194" s="108"/>
      <c r="AB194" s="108">
        <f t="shared" si="919"/>
        <v>470.86</v>
      </c>
      <c r="AC194" s="109">
        <f t="shared" si="920"/>
        <v>0</v>
      </c>
      <c r="AD194" s="108">
        <f t="shared" ref="AD194" si="932">IF(X194&gt;0,V194,R194)</f>
        <v>470.86</v>
      </c>
      <c r="AE194" s="108">
        <f t="shared" ref="AE194" si="933">IF(Y194&gt;0,W194,S194)</f>
        <v>0</v>
      </c>
      <c r="AF194" s="108">
        <f t="shared" si="921"/>
        <v>0</v>
      </c>
      <c r="AG194" s="108">
        <f t="shared" si="922"/>
        <v>118</v>
      </c>
      <c r="AH194" s="108">
        <f t="shared" si="923"/>
        <v>0</v>
      </c>
      <c r="AI194" s="127">
        <f t="shared" si="924"/>
        <v>39</v>
      </c>
      <c r="AJ194" s="108">
        <f t="shared" si="925"/>
        <v>0</v>
      </c>
      <c r="AM194" s="108">
        <f t="shared" si="926"/>
        <v>117.72</v>
      </c>
      <c r="AN194" s="108">
        <f t="shared" si="927"/>
        <v>0</v>
      </c>
      <c r="AQ194" s="108">
        <f t="shared" si="928"/>
        <v>235.72</v>
      </c>
      <c r="AR194" s="108">
        <f t="shared" si="929"/>
        <v>0</v>
      </c>
      <c r="AU194" s="108">
        <f t="shared" si="749"/>
        <v>117.72</v>
      </c>
      <c r="AV194" s="108">
        <f t="shared" si="892"/>
        <v>0</v>
      </c>
      <c r="AY194" s="108">
        <f t="shared" si="903"/>
        <v>392.44</v>
      </c>
      <c r="AZ194" s="108">
        <f t="shared" si="904"/>
        <v>0</v>
      </c>
      <c r="BA194" s="108">
        <f t="shared" si="905"/>
        <v>392.44</v>
      </c>
      <c r="BB194" s="139">
        <v>392.44</v>
      </c>
      <c r="BD194" s="139">
        <f t="shared" si="906"/>
        <v>0</v>
      </c>
      <c r="BE194" s="139">
        <f t="shared" si="907"/>
        <v>0</v>
      </c>
      <c r="BF194" s="139">
        <f t="shared" si="908"/>
        <v>78.489999999999995</v>
      </c>
      <c r="BG194" s="139">
        <f t="shared" si="909"/>
        <v>0</v>
      </c>
      <c r="BH194" s="143">
        <f>14.21-8.65</f>
        <v>5.5600000000000005</v>
      </c>
      <c r="BI194" s="108">
        <v>0</v>
      </c>
      <c r="BL194" s="108">
        <f t="shared" si="662"/>
        <v>398</v>
      </c>
      <c r="BM194" s="108">
        <f t="shared" si="679"/>
        <v>0</v>
      </c>
      <c r="BN194" s="108">
        <f t="shared" si="680"/>
        <v>398</v>
      </c>
      <c r="BO194" s="108">
        <v>392.44</v>
      </c>
      <c r="BP194" s="127"/>
      <c r="BQ194" s="108">
        <f t="shared" si="681"/>
        <v>5.5600000000000023</v>
      </c>
      <c r="BR194" s="108">
        <f t="shared" si="682"/>
        <v>0</v>
      </c>
      <c r="BS194" s="108">
        <f t="shared" si="683"/>
        <v>35.68</v>
      </c>
      <c r="BT194" s="108">
        <f t="shared" si="684"/>
        <v>0</v>
      </c>
      <c r="BU194" s="143">
        <f>BS194-BQ194-21.47-8.65</f>
        <v>0</v>
      </c>
      <c r="BV194" s="108">
        <f t="shared" ref="BV194" si="934">ROUND(BT194-BR194,2)</f>
        <v>0</v>
      </c>
      <c r="CA194" s="108">
        <v>398</v>
      </c>
      <c r="CB194" s="108">
        <v>0</v>
      </c>
      <c r="CC194">
        <v>437.8</v>
      </c>
      <c r="CD194">
        <v>0</v>
      </c>
      <c r="CE194" s="189">
        <v>36</v>
      </c>
      <c r="CF194" s="189">
        <v>0</v>
      </c>
      <c r="CG194" s="189">
        <f t="shared" si="685"/>
        <v>99.5</v>
      </c>
      <c r="CH194" s="189">
        <f t="shared" si="686"/>
        <v>0</v>
      </c>
      <c r="CI194" s="150"/>
      <c r="CJ194" s="150"/>
      <c r="CK194" s="150">
        <v>97</v>
      </c>
      <c r="CL194" s="150"/>
      <c r="CM194" s="150"/>
      <c r="CN194" s="150"/>
      <c r="CO194" s="150"/>
      <c r="CP194" s="150"/>
      <c r="CQ194" s="150">
        <f t="shared" si="687"/>
        <v>388</v>
      </c>
      <c r="CR194" s="150">
        <f t="shared" si="688"/>
        <v>0</v>
      </c>
      <c r="CS194" s="150">
        <f t="shared" si="689"/>
        <v>0</v>
      </c>
      <c r="CT194" s="150">
        <f t="shared" si="690"/>
        <v>0</v>
      </c>
      <c r="CU194" s="150">
        <v>385</v>
      </c>
      <c r="CV194" s="150"/>
      <c r="CW194" s="150">
        <f t="shared" si="691"/>
        <v>96.25</v>
      </c>
      <c r="CX194" s="150">
        <f t="shared" si="691"/>
        <v>0</v>
      </c>
      <c r="CY194" s="150"/>
      <c r="CZ194" s="150"/>
      <c r="DA194" s="150">
        <f t="shared" si="692"/>
        <v>229.25</v>
      </c>
      <c r="DB194" s="150">
        <f t="shared" si="693"/>
        <v>0</v>
      </c>
      <c r="DC194" s="150">
        <v>229.25</v>
      </c>
      <c r="DD194" s="150">
        <v>0</v>
      </c>
      <c r="DE194" s="150">
        <f t="shared" si="694"/>
        <v>0</v>
      </c>
      <c r="DF194" s="150">
        <f t="shared" si="695"/>
        <v>0</v>
      </c>
      <c r="DG194" s="150">
        <f t="shared" si="912"/>
        <v>96.25</v>
      </c>
      <c r="DH194" s="150">
        <f t="shared" si="912"/>
        <v>0</v>
      </c>
      <c r="DI194" s="150">
        <f t="shared" si="913"/>
        <v>96.25</v>
      </c>
      <c r="DJ194" s="150">
        <f t="shared" si="913"/>
        <v>0</v>
      </c>
      <c r="DK194" s="104">
        <f t="shared" si="839"/>
        <v>59.5</v>
      </c>
      <c r="DL194" s="104">
        <f t="shared" si="840"/>
        <v>0</v>
      </c>
      <c r="DM194" s="104">
        <f t="shared" si="663"/>
        <v>59.5</v>
      </c>
      <c r="DN194" s="104">
        <f t="shared" si="664"/>
        <v>0</v>
      </c>
      <c r="DO194" s="104">
        <v>385</v>
      </c>
      <c r="DQ194" s="104">
        <v>443</v>
      </c>
    </row>
    <row r="195" spans="1:128" ht="18.75">
      <c r="A195" s="18"/>
      <c r="B195" s="18" t="s">
        <v>314</v>
      </c>
      <c r="C195" s="19" t="s">
        <v>118</v>
      </c>
      <c r="D195" s="20" t="s">
        <v>312</v>
      </c>
      <c r="E195" s="21" t="s">
        <v>315</v>
      </c>
      <c r="F195" s="22">
        <v>2997.1400000000003</v>
      </c>
      <c r="G195" s="22">
        <v>638.61</v>
      </c>
      <c r="H195" s="22">
        <v>2970.7500000000005</v>
      </c>
      <c r="I195" s="22">
        <v>665.00000000000011</v>
      </c>
      <c r="J195" s="88">
        <f t="shared" ref="J195:AA195" si="935">+J193+J194</f>
        <v>3755.3</v>
      </c>
      <c r="K195" s="88">
        <f t="shared" si="935"/>
        <v>0</v>
      </c>
      <c r="L195" s="88">
        <f t="shared" si="935"/>
        <v>0</v>
      </c>
      <c r="M195" s="88">
        <f t="shared" si="935"/>
        <v>3755.3</v>
      </c>
      <c r="N195" s="88">
        <f t="shared" si="935"/>
        <v>0</v>
      </c>
      <c r="O195" s="88">
        <f t="shared" si="935"/>
        <v>0</v>
      </c>
      <c r="P195" s="88">
        <f t="shared" si="935"/>
        <v>0</v>
      </c>
      <c r="Q195" s="88">
        <f t="shared" si="935"/>
        <v>0</v>
      </c>
      <c r="R195" s="88">
        <f t="shared" si="935"/>
        <v>3755.3</v>
      </c>
      <c r="S195" s="88">
        <f t="shared" si="935"/>
        <v>850</v>
      </c>
      <c r="T195" s="88">
        <f t="shared" si="935"/>
        <v>0</v>
      </c>
      <c r="U195" s="88">
        <f t="shared" si="935"/>
        <v>0</v>
      </c>
      <c r="V195" s="88">
        <f t="shared" si="935"/>
        <v>3143.9500000000003</v>
      </c>
      <c r="W195" s="88">
        <f t="shared" si="935"/>
        <v>686.75</v>
      </c>
      <c r="X195" s="88">
        <f t="shared" si="935"/>
        <v>611.3499999999998</v>
      </c>
      <c r="Y195" s="88">
        <f t="shared" si="935"/>
        <v>163.25</v>
      </c>
      <c r="Z195" s="88">
        <f t="shared" si="935"/>
        <v>3143.9500000000003</v>
      </c>
      <c r="AA195" s="88">
        <f t="shared" si="935"/>
        <v>0</v>
      </c>
      <c r="AB195" s="22">
        <f t="shared" si="919"/>
        <v>3143.9500000000003</v>
      </c>
      <c r="AC195" s="109">
        <f t="shared" si="920"/>
        <v>0</v>
      </c>
      <c r="AD195" s="22">
        <f t="shared" ref="AD195:CO195" si="936">+AD193+AD194</f>
        <v>3143.9500000000003</v>
      </c>
      <c r="AE195" s="22">
        <f t="shared" si="936"/>
        <v>686.75</v>
      </c>
      <c r="AF195" s="22">
        <f t="shared" si="936"/>
        <v>766.87</v>
      </c>
      <c r="AG195" s="22">
        <f t="shared" si="936"/>
        <v>786</v>
      </c>
      <c r="AH195" s="22">
        <f t="shared" si="936"/>
        <v>172</v>
      </c>
      <c r="AI195" s="118">
        <f t="shared" si="936"/>
        <v>262</v>
      </c>
      <c r="AJ195" s="22">
        <f t="shared" si="936"/>
        <v>57</v>
      </c>
      <c r="AK195" s="22">
        <f t="shared" si="936"/>
        <v>0</v>
      </c>
      <c r="AL195" s="22">
        <f t="shared" si="936"/>
        <v>0</v>
      </c>
      <c r="AM195" s="22">
        <f t="shared" si="936"/>
        <v>785.99</v>
      </c>
      <c r="AN195" s="22">
        <f t="shared" si="936"/>
        <v>167.22</v>
      </c>
      <c r="AO195" s="22">
        <f t="shared" si="936"/>
        <v>0</v>
      </c>
      <c r="AP195" s="22">
        <f t="shared" si="936"/>
        <v>0</v>
      </c>
      <c r="AQ195" s="22">
        <f t="shared" si="936"/>
        <v>1571.99</v>
      </c>
      <c r="AR195" s="22">
        <f t="shared" si="936"/>
        <v>339.22</v>
      </c>
      <c r="AS195" s="22">
        <f t="shared" si="936"/>
        <v>0</v>
      </c>
      <c r="AT195" s="22">
        <f t="shared" si="936"/>
        <v>0</v>
      </c>
      <c r="AU195" s="22">
        <f t="shared" si="936"/>
        <v>785.99</v>
      </c>
      <c r="AV195" s="22">
        <f t="shared" si="936"/>
        <v>171.69</v>
      </c>
      <c r="AW195" s="22">
        <f t="shared" si="936"/>
        <v>0</v>
      </c>
      <c r="AX195" s="22">
        <f t="shared" si="936"/>
        <v>0</v>
      </c>
      <c r="AY195" s="22">
        <f t="shared" si="936"/>
        <v>2619.98</v>
      </c>
      <c r="AZ195" s="22">
        <f t="shared" si="936"/>
        <v>567.91000000000008</v>
      </c>
      <c r="BA195" s="22">
        <f t="shared" si="936"/>
        <v>3187.89</v>
      </c>
      <c r="BB195" s="22">
        <f t="shared" si="936"/>
        <v>2512.85</v>
      </c>
      <c r="BC195" s="22">
        <f t="shared" si="936"/>
        <v>591.46</v>
      </c>
      <c r="BD195" s="22">
        <f t="shared" si="936"/>
        <v>107.13000000000011</v>
      </c>
      <c r="BE195" s="22">
        <f t="shared" si="936"/>
        <v>-23.549999999999955</v>
      </c>
      <c r="BF195" s="22">
        <f t="shared" si="936"/>
        <v>502.57</v>
      </c>
      <c r="BG195" s="118">
        <f t="shared" si="936"/>
        <v>118.29</v>
      </c>
      <c r="BH195" s="118">
        <f t="shared" si="936"/>
        <v>172.69</v>
      </c>
      <c r="BI195" s="118">
        <f t="shared" si="936"/>
        <v>60</v>
      </c>
      <c r="BJ195" s="118">
        <f t="shared" si="936"/>
        <v>0</v>
      </c>
      <c r="BK195" s="118">
        <f t="shared" si="936"/>
        <v>0</v>
      </c>
      <c r="BL195" s="118">
        <f t="shared" si="936"/>
        <v>2792.67</v>
      </c>
      <c r="BM195" s="118">
        <f t="shared" si="936"/>
        <v>627.91000000000008</v>
      </c>
      <c r="BN195" s="118">
        <f t="shared" si="936"/>
        <v>3420.58</v>
      </c>
      <c r="BO195" s="118">
        <f t="shared" si="936"/>
        <v>2733.53</v>
      </c>
      <c r="BP195" s="118">
        <f t="shared" si="936"/>
        <v>629.4</v>
      </c>
      <c r="BQ195" s="22">
        <f t="shared" si="936"/>
        <v>59.13999999999993</v>
      </c>
      <c r="BR195" s="22">
        <f t="shared" si="936"/>
        <v>-1.4899999999998954</v>
      </c>
      <c r="BS195" s="22">
        <f t="shared" si="936"/>
        <v>248.51000000000002</v>
      </c>
      <c r="BT195" s="22">
        <f t="shared" si="936"/>
        <v>57.22</v>
      </c>
      <c r="BU195" s="22">
        <f t="shared" si="936"/>
        <v>189.37000000000009</v>
      </c>
      <c r="BV195" s="22">
        <f t="shared" si="936"/>
        <v>58.71</v>
      </c>
      <c r="BW195" s="22">
        <f t="shared" si="936"/>
        <v>114.4</v>
      </c>
      <c r="BX195" s="22">
        <f t="shared" si="936"/>
        <v>0</v>
      </c>
      <c r="BY195" s="22">
        <f t="shared" si="936"/>
        <v>0</v>
      </c>
      <c r="BZ195" s="22">
        <f t="shared" si="936"/>
        <v>0</v>
      </c>
      <c r="CA195" s="22">
        <f t="shared" si="936"/>
        <v>3096.44</v>
      </c>
      <c r="CB195" s="22">
        <f t="shared" si="936"/>
        <v>686.62000000000012</v>
      </c>
      <c r="CC195" s="22">
        <f t="shared" si="936"/>
        <v>3406.0800000000004</v>
      </c>
      <c r="CD195" s="118">
        <f t="shared" si="936"/>
        <v>789.61</v>
      </c>
      <c r="CE195" s="190">
        <f t="shared" si="936"/>
        <v>283</v>
      </c>
      <c r="CF195" s="190">
        <f t="shared" si="936"/>
        <v>66</v>
      </c>
      <c r="CG195" s="190">
        <f t="shared" si="936"/>
        <v>774.11</v>
      </c>
      <c r="CH195" s="190">
        <f t="shared" si="936"/>
        <v>171.66</v>
      </c>
      <c r="CI195" s="190">
        <f t="shared" si="936"/>
        <v>0</v>
      </c>
      <c r="CJ195" s="190">
        <f t="shared" si="936"/>
        <v>0</v>
      </c>
      <c r="CK195" s="190">
        <f t="shared" si="936"/>
        <v>834</v>
      </c>
      <c r="CL195" s="190">
        <f t="shared" si="936"/>
        <v>50</v>
      </c>
      <c r="CM195" s="190">
        <f t="shared" si="936"/>
        <v>0</v>
      </c>
      <c r="CN195" s="190">
        <f t="shared" si="936"/>
        <v>0</v>
      </c>
      <c r="CO195" s="190">
        <f t="shared" si="936"/>
        <v>3321.28</v>
      </c>
      <c r="CP195" s="190">
        <f t="shared" ref="CP195:DR195" si="937">+CP193+CP194</f>
        <v>841.89</v>
      </c>
      <c r="CQ195" s="190">
        <f t="shared" si="937"/>
        <v>3336</v>
      </c>
      <c r="CR195" s="190">
        <f t="shared" si="937"/>
        <v>200</v>
      </c>
      <c r="CS195" s="190">
        <f t="shared" si="937"/>
        <v>2948</v>
      </c>
      <c r="CT195" s="190">
        <f t="shared" si="937"/>
        <v>200</v>
      </c>
      <c r="CU195" s="190">
        <f t="shared" si="937"/>
        <v>3390</v>
      </c>
      <c r="CV195" s="190">
        <f t="shared" si="937"/>
        <v>460</v>
      </c>
      <c r="CW195" s="190">
        <f t="shared" si="937"/>
        <v>847.5</v>
      </c>
      <c r="CX195" s="190">
        <f t="shared" si="937"/>
        <v>100</v>
      </c>
      <c r="CY195" s="190">
        <f t="shared" si="937"/>
        <v>0</v>
      </c>
      <c r="CZ195" s="190">
        <f t="shared" si="937"/>
        <v>0</v>
      </c>
      <c r="DA195" s="190">
        <f t="shared" si="937"/>
        <v>1964.5</v>
      </c>
      <c r="DB195" s="190">
        <f t="shared" si="937"/>
        <v>216</v>
      </c>
      <c r="DC195" s="190">
        <f t="shared" si="937"/>
        <v>1860.91</v>
      </c>
      <c r="DD195" s="190">
        <f t="shared" si="937"/>
        <v>145.27000000000001</v>
      </c>
      <c r="DE195" s="190">
        <f t="shared" si="937"/>
        <v>103.58999999999992</v>
      </c>
      <c r="DF195" s="190">
        <f t="shared" si="937"/>
        <v>70.72999999999999</v>
      </c>
      <c r="DG195" s="190">
        <f t="shared" si="937"/>
        <v>847.5</v>
      </c>
      <c r="DH195" s="190">
        <f t="shared" si="937"/>
        <v>115</v>
      </c>
      <c r="DI195" s="190">
        <f t="shared" si="937"/>
        <v>743.91000000000008</v>
      </c>
      <c r="DJ195" s="190">
        <f t="shared" si="937"/>
        <v>44.27000000000001</v>
      </c>
      <c r="DK195" s="104">
        <f t="shared" si="839"/>
        <v>681.58999999999992</v>
      </c>
      <c r="DL195" s="104">
        <f t="shared" si="840"/>
        <v>199.73</v>
      </c>
      <c r="DM195" s="104">
        <f t="shared" si="663"/>
        <v>681.58999999999992</v>
      </c>
      <c r="DN195" s="104">
        <f t="shared" si="664"/>
        <v>199.73</v>
      </c>
      <c r="DO195" s="22">
        <f t="shared" si="937"/>
        <v>3390</v>
      </c>
      <c r="DP195" s="22">
        <f t="shared" si="937"/>
        <v>460</v>
      </c>
      <c r="DQ195" s="22">
        <f t="shared" si="937"/>
        <v>3899</v>
      </c>
      <c r="DR195" s="22">
        <f t="shared" si="937"/>
        <v>550</v>
      </c>
      <c r="DS195" s="22">
        <f t="shared" ref="DS195:DX195" si="938">+DS193+DS194</f>
        <v>0</v>
      </c>
      <c r="DT195" s="22">
        <f t="shared" si="938"/>
        <v>0</v>
      </c>
      <c r="DU195" s="22">
        <f t="shared" si="938"/>
        <v>0</v>
      </c>
      <c r="DV195" s="22">
        <f t="shared" si="938"/>
        <v>0</v>
      </c>
      <c r="DW195" s="22">
        <f t="shared" si="938"/>
        <v>0</v>
      </c>
      <c r="DX195" s="22">
        <f t="shared" si="938"/>
        <v>0</v>
      </c>
    </row>
    <row r="196" spans="1:128" ht="18.75">
      <c r="A196" s="18">
        <v>8</v>
      </c>
      <c r="B196" s="18" t="s">
        <v>316</v>
      </c>
      <c r="C196" s="19" t="s">
        <v>317</v>
      </c>
      <c r="D196" s="20" t="s">
        <v>318</v>
      </c>
      <c r="E196" s="21" t="s">
        <v>319</v>
      </c>
      <c r="F196" s="81">
        <v>5752.3</v>
      </c>
      <c r="G196" s="81">
        <v>1259.1599999999999</v>
      </c>
      <c r="H196" s="81">
        <v>5539.2300000000005</v>
      </c>
      <c r="I196" s="22">
        <v>1203.1599999999999</v>
      </c>
      <c r="J196" s="88">
        <v>6270</v>
      </c>
      <c r="K196" s="88">
        <v>1158.01</v>
      </c>
      <c r="L196" s="88">
        <v>0</v>
      </c>
      <c r="M196" s="88">
        <f>+L196+K196+J196</f>
        <v>7428.01</v>
      </c>
      <c r="N196" s="88">
        <v>0</v>
      </c>
      <c r="O196" s="88">
        <v>0</v>
      </c>
      <c r="P196" s="88">
        <v>0</v>
      </c>
      <c r="Q196" s="88">
        <f>+P196+O196+N196</f>
        <v>0</v>
      </c>
      <c r="R196" s="88">
        <f>+Q196+M196</f>
        <v>7428.01</v>
      </c>
      <c r="S196" s="88">
        <v>1870</v>
      </c>
      <c r="V196" s="22">
        <f t="shared" ref="V196:V199" si="939">ROUND(H196*1.0583,2)</f>
        <v>5862.17</v>
      </c>
      <c r="W196" s="22">
        <f t="shared" ref="W196:W199" si="940">ROUND(I196*1.0327,2)</f>
        <v>1242.5</v>
      </c>
      <c r="X196" s="22">
        <f t="shared" si="917"/>
        <v>1565.8400000000001</v>
      </c>
      <c r="Y196" s="22">
        <f t="shared" si="918"/>
        <v>627.5</v>
      </c>
      <c r="Z196" s="22">
        <v>6662.17</v>
      </c>
      <c r="AA196" s="22"/>
      <c r="AB196" s="22">
        <f t="shared" si="919"/>
        <v>6662.17</v>
      </c>
      <c r="AC196" s="109">
        <f t="shared" si="920"/>
        <v>0</v>
      </c>
      <c r="AD196" s="22">
        <f>IF(X196&gt;0,V196,R196)+800</f>
        <v>6662.17</v>
      </c>
      <c r="AE196" s="22">
        <f t="shared" ref="AE196:AE197" si="941">IF(Y196&gt;0,W196,S196)</f>
        <v>1242.5</v>
      </c>
      <c r="AF196" s="22">
        <f t="shared" si="921"/>
        <v>1687.11</v>
      </c>
      <c r="AG196" s="108">
        <f t="shared" si="922"/>
        <v>1666</v>
      </c>
      <c r="AH196" s="108">
        <f t="shared" si="923"/>
        <v>311</v>
      </c>
      <c r="AI196" s="127">
        <f t="shared" si="924"/>
        <v>555</v>
      </c>
      <c r="AJ196" s="108">
        <f t="shared" si="925"/>
        <v>104</v>
      </c>
      <c r="AM196" s="108">
        <f t="shared" si="926"/>
        <v>1665.54</v>
      </c>
      <c r="AN196" s="108">
        <f t="shared" si="927"/>
        <v>302.55</v>
      </c>
      <c r="AQ196" s="108">
        <f t="shared" si="928"/>
        <v>3331.54</v>
      </c>
      <c r="AR196" s="108">
        <f t="shared" si="929"/>
        <v>613.54999999999995</v>
      </c>
      <c r="AU196" s="108">
        <f t="shared" si="749"/>
        <v>1665.54</v>
      </c>
      <c r="AV196" s="108">
        <f t="shared" si="892"/>
        <v>310.63</v>
      </c>
      <c r="AY196" s="108">
        <f t="shared" si="903"/>
        <v>5552.08</v>
      </c>
      <c r="AZ196" s="108">
        <f t="shared" si="904"/>
        <v>1028.1799999999998</v>
      </c>
      <c r="BA196" s="108">
        <f t="shared" si="905"/>
        <v>6580.26</v>
      </c>
      <c r="BB196" s="139">
        <v>4478.16</v>
      </c>
      <c r="BC196" s="139">
        <v>256.31</v>
      </c>
      <c r="BD196" s="139">
        <f t="shared" si="906"/>
        <v>1073.92</v>
      </c>
      <c r="BE196" s="139">
        <f t="shared" si="907"/>
        <v>771.86999999999989</v>
      </c>
      <c r="BF196" s="139">
        <f t="shared" si="908"/>
        <v>895.63</v>
      </c>
      <c r="BG196" s="139">
        <f t="shared" si="909"/>
        <v>51.26</v>
      </c>
      <c r="BH196" s="108">
        <v>0</v>
      </c>
      <c r="BI196" s="108">
        <v>0</v>
      </c>
      <c r="BL196" s="108">
        <f t="shared" si="662"/>
        <v>5552.08</v>
      </c>
      <c r="BM196" s="108">
        <f t="shared" si="679"/>
        <v>1028.1799999999998</v>
      </c>
      <c r="BN196" s="108">
        <f t="shared" si="680"/>
        <v>6580.26</v>
      </c>
      <c r="BO196" s="108">
        <v>5031.3999999999996</v>
      </c>
      <c r="BP196" s="127">
        <v>342.45</v>
      </c>
      <c r="BQ196" s="108">
        <f t="shared" si="681"/>
        <v>520.68000000000029</v>
      </c>
      <c r="BR196" s="108">
        <f t="shared" si="682"/>
        <v>685.72999999999979</v>
      </c>
      <c r="BS196" s="108">
        <f t="shared" si="683"/>
        <v>457.4</v>
      </c>
      <c r="BT196" s="108">
        <f t="shared" si="684"/>
        <v>31.13</v>
      </c>
      <c r="BU196" s="108">
        <v>0</v>
      </c>
      <c r="BV196" s="108">
        <v>0</v>
      </c>
      <c r="BY196" s="108">
        <v>364</v>
      </c>
      <c r="CA196" s="108">
        <v>5552.08</v>
      </c>
      <c r="CB196" s="108">
        <v>664.17999999999984</v>
      </c>
      <c r="CC196">
        <v>6107.29</v>
      </c>
      <c r="CD196">
        <v>763.81</v>
      </c>
      <c r="CE196" s="189">
        <v>509</v>
      </c>
      <c r="CF196" s="189">
        <v>64</v>
      </c>
      <c r="CG196" s="189">
        <f t="shared" si="685"/>
        <v>1388.02</v>
      </c>
      <c r="CH196" s="189">
        <f t="shared" si="686"/>
        <v>166.05</v>
      </c>
      <c r="CI196" s="150"/>
      <c r="CJ196" s="150"/>
      <c r="CK196" s="150">
        <f>1830-80</f>
        <v>1750</v>
      </c>
      <c r="CL196" s="150">
        <f>200-20-10</f>
        <v>170</v>
      </c>
      <c r="CM196" s="150"/>
      <c r="CN196" s="150"/>
      <c r="CO196" s="150">
        <v>7994</v>
      </c>
      <c r="CP196" s="150">
        <v>1250</v>
      </c>
      <c r="CQ196" s="150">
        <f t="shared" si="687"/>
        <v>7000</v>
      </c>
      <c r="CR196" s="150">
        <f t="shared" si="688"/>
        <v>680</v>
      </c>
      <c r="CS196" s="150">
        <f t="shared" si="689"/>
        <v>7000</v>
      </c>
      <c r="CT196" s="150">
        <f t="shared" si="690"/>
        <v>680</v>
      </c>
      <c r="CU196" s="150">
        <v>7000</v>
      </c>
      <c r="CV196" s="150">
        <v>700</v>
      </c>
      <c r="CW196" s="150">
        <f t="shared" si="691"/>
        <v>1750</v>
      </c>
      <c r="CX196" s="150">
        <f t="shared" si="691"/>
        <v>175</v>
      </c>
      <c r="CY196" s="150"/>
      <c r="CZ196" s="150"/>
      <c r="DA196" s="150">
        <f t="shared" si="692"/>
        <v>4009</v>
      </c>
      <c r="DB196" s="150">
        <f t="shared" si="693"/>
        <v>409</v>
      </c>
      <c r="DC196" s="150">
        <v>3383.97</v>
      </c>
      <c r="DD196" s="150">
        <v>407.64</v>
      </c>
      <c r="DE196" s="150">
        <f t="shared" si="694"/>
        <v>625.0300000000002</v>
      </c>
      <c r="DF196" s="150">
        <f t="shared" si="695"/>
        <v>1.3600000000000136</v>
      </c>
      <c r="DG196" s="150">
        <f t="shared" ref="DG196:DG204" si="942">ROUND(0.25*(MIN(CU196,DO196)),2)</f>
        <v>1566.75</v>
      </c>
      <c r="DH196" s="150">
        <f t="shared" ref="DH196:DH204" si="943">ROUND(0.25*(MIN(CV196,DP196)),2)</f>
        <v>175</v>
      </c>
      <c r="DI196" s="150">
        <f>+DG196-DE196</f>
        <v>941.7199999999998</v>
      </c>
      <c r="DJ196" s="150">
        <f>+DH196-DF196+117.36+59</f>
        <v>350</v>
      </c>
      <c r="DK196" s="104">
        <f t="shared" si="839"/>
        <v>1316.2800000000002</v>
      </c>
      <c r="DL196" s="104">
        <f t="shared" si="840"/>
        <v>234.5</v>
      </c>
      <c r="DM196" s="104">
        <f t="shared" si="663"/>
        <v>2049.2800000000002</v>
      </c>
      <c r="DN196" s="104">
        <f t="shared" si="664"/>
        <v>-59</v>
      </c>
      <c r="DO196" s="104">
        <v>6267</v>
      </c>
      <c r="DP196" s="104">
        <v>993.5</v>
      </c>
      <c r="DQ196" s="104">
        <v>7560</v>
      </c>
      <c r="DR196" s="104">
        <v>850</v>
      </c>
    </row>
    <row r="197" spans="1:128" ht="18.75">
      <c r="A197" s="18">
        <v>9</v>
      </c>
      <c r="B197" s="18" t="s">
        <v>320</v>
      </c>
      <c r="C197" s="19" t="s">
        <v>208</v>
      </c>
      <c r="D197" s="20" t="s">
        <v>321</v>
      </c>
      <c r="E197" s="21" t="s">
        <v>322</v>
      </c>
      <c r="F197" s="81">
        <v>2392.0499999999997</v>
      </c>
      <c r="G197" s="81">
        <v>298.33</v>
      </c>
      <c r="H197" s="81">
        <v>2392.0499999999997</v>
      </c>
      <c r="I197" s="22">
        <v>298.33</v>
      </c>
      <c r="J197" s="88">
        <v>2600</v>
      </c>
      <c r="K197" s="88">
        <v>0</v>
      </c>
      <c r="L197" s="88">
        <v>0</v>
      </c>
      <c r="M197" s="88">
        <f t="shared" ref="M197:M198" si="944">+L197+K197+J197</f>
        <v>2600</v>
      </c>
      <c r="N197" s="88">
        <v>0</v>
      </c>
      <c r="O197" s="88">
        <v>0</v>
      </c>
      <c r="P197" s="88">
        <v>0</v>
      </c>
      <c r="Q197" s="88">
        <f t="shared" ref="Q197:Q198" si="945">+P197+O197+N197</f>
        <v>0</v>
      </c>
      <c r="R197" s="88">
        <f t="shared" ref="R197:R222" si="946">+Q197+M197</f>
        <v>2600</v>
      </c>
      <c r="S197" s="88">
        <v>400</v>
      </c>
      <c r="V197" s="22">
        <f t="shared" si="939"/>
        <v>2531.5100000000002</v>
      </c>
      <c r="W197" s="22">
        <f t="shared" si="940"/>
        <v>308.08999999999997</v>
      </c>
      <c r="X197" s="22">
        <f t="shared" si="917"/>
        <v>68.489999999999782</v>
      </c>
      <c r="Y197" s="22">
        <f t="shared" si="918"/>
        <v>91.910000000000025</v>
      </c>
      <c r="Z197" s="22">
        <v>2531.5100000000002</v>
      </c>
      <c r="AA197" s="22"/>
      <c r="AB197" s="22">
        <f t="shared" si="919"/>
        <v>2531.5100000000002</v>
      </c>
      <c r="AC197" s="109">
        <f t="shared" si="920"/>
        <v>0</v>
      </c>
      <c r="AD197" s="22">
        <f t="shared" ref="AD197:AD199" si="947">IF(X197&gt;0,V197,R197)</f>
        <v>2531.5100000000002</v>
      </c>
      <c r="AE197" s="22">
        <f t="shared" si="941"/>
        <v>308.08999999999997</v>
      </c>
      <c r="AF197" s="22">
        <f t="shared" si="921"/>
        <v>360.88</v>
      </c>
      <c r="AG197" s="108">
        <f t="shared" si="922"/>
        <v>633</v>
      </c>
      <c r="AH197" s="108">
        <f t="shared" si="923"/>
        <v>77</v>
      </c>
      <c r="AI197" s="127">
        <f t="shared" si="924"/>
        <v>211</v>
      </c>
      <c r="AJ197" s="108">
        <f t="shared" si="925"/>
        <v>26</v>
      </c>
      <c r="AM197" s="108">
        <f t="shared" si="926"/>
        <v>632.88</v>
      </c>
      <c r="AN197" s="108">
        <f t="shared" si="927"/>
        <v>75.02</v>
      </c>
      <c r="AQ197" s="108">
        <f t="shared" si="928"/>
        <v>1265.8800000000001</v>
      </c>
      <c r="AR197" s="108">
        <f t="shared" si="929"/>
        <v>152.01999999999998</v>
      </c>
      <c r="AU197" s="108">
        <f t="shared" si="749"/>
        <v>632.88</v>
      </c>
      <c r="AV197" s="141">
        <f>ROUND(AE197*25%,2)-77.02</f>
        <v>0</v>
      </c>
      <c r="AW197" s="141"/>
      <c r="AX197" s="141"/>
      <c r="AY197" s="108">
        <f t="shared" si="903"/>
        <v>2109.7600000000002</v>
      </c>
      <c r="AZ197" s="108">
        <f t="shared" si="904"/>
        <v>178.01999999999998</v>
      </c>
      <c r="BA197" s="108">
        <f t="shared" si="905"/>
        <v>2287.7800000000002</v>
      </c>
      <c r="BB197" s="139">
        <v>2083.87</v>
      </c>
      <c r="BC197" s="139">
        <v>132.30000000000001</v>
      </c>
      <c r="BD197" s="139">
        <f t="shared" si="906"/>
        <v>25.890000000000327</v>
      </c>
      <c r="BE197" s="139">
        <f t="shared" si="907"/>
        <v>45.71999999999997</v>
      </c>
      <c r="BF197" s="139">
        <f t="shared" si="908"/>
        <v>416.77</v>
      </c>
      <c r="BG197" s="139">
        <f t="shared" si="909"/>
        <v>26.46</v>
      </c>
      <c r="BH197" s="108">
        <v>190.12</v>
      </c>
      <c r="BI197" s="108">
        <v>0</v>
      </c>
      <c r="BL197" s="108">
        <f t="shared" ref="BL197:BL259" si="948">+BH197+AY197+BJ197</f>
        <v>2299.88</v>
      </c>
      <c r="BM197" s="108">
        <f t="shared" si="679"/>
        <v>178.01999999999998</v>
      </c>
      <c r="BN197" s="108">
        <f t="shared" si="680"/>
        <v>2477.9</v>
      </c>
      <c r="BO197" s="108">
        <v>2301.79</v>
      </c>
      <c r="BP197" s="127">
        <v>138.9</v>
      </c>
      <c r="BQ197" s="108">
        <f t="shared" si="681"/>
        <v>-1.9099999999998545</v>
      </c>
      <c r="BR197" s="108">
        <f t="shared" si="682"/>
        <v>39.119999999999976</v>
      </c>
      <c r="BS197" s="108">
        <f t="shared" si="683"/>
        <v>209.25</v>
      </c>
      <c r="BT197" s="108">
        <f t="shared" si="684"/>
        <v>12.63</v>
      </c>
      <c r="BU197" s="143">
        <f>BS197-BQ197+20</f>
        <v>231.15999999999985</v>
      </c>
      <c r="BV197" s="108">
        <v>0</v>
      </c>
      <c r="CA197" s="108">
        <v>2531.04</v>
      </c>
      <c r="CB197" s="108">
        <v>178.01999999999998</v>
      </c>
      <c r="CC197">
        <v>2784.14</v>
      </c>
      <c r="CD197">
        <v>204.72</v>
      </c>
      <c r="CE197" s="189">
        <v>232</v>
      </c>
      <c r="CF197" s="189">
        <v>17</v>
      </c>
      <c r="CG197" s="189">
        <f t="shared" si="685"/>
        <v>632.76</v>
      </c>
      <c r="CH197" s="189">
        <f t="shared" si="686"/>
        <v>44.51</v>
      </c>
      <c r="CI197" s="150"/>
      <c r="CJ197" s="150"/>
      <c r="CK197" s="150">
        <v>700</v>
      </c>
      <c r="CL197" s="150">
        <f>150-75</f>
        <v>75</v>
      </c>
      <c r="CM197" s="150"/>
      <c r="CN197" s="150"/>
      <c r="CO197" s="150">
        <v>2700</v>
      </c>
      <c r="CP197" s="150">
        <v>338.9</v>
      </c>
      <c r="CQ197" s="150">
        <f t="shared" si="687"/>
        <v>2800</v>
      </c>
      <c r="CR197" s="150">
        <f t="shared" si="688"/>
        <v>300</v>
      </c>
      <c r="CS197" s="150">
        <f t="shared" si="689"/>
        <v>2700</v>
      </c>
      <c r="CT197" s="150">
        <f t="shared" si="690"/>
        <v>300</v>
      </c>
      <c r="CU197" s="150">
        <v>2700</v>
      </c>
      <c r="CV197" s="150">
        <v>300</v>
      </c>
      <c r="CW197" s="150">
        <f t="shared" si="691"/>
        <v>675</v>
      </c>
      <c r="CX197" s="150">
        <f>ROUND(CV197*25%,2)-40</f>
        <v>35</v>
      </c>
      <c r="CY197" s="150"/>
      <c r="CZ197" s="150">
        <v>40</v>
      </c>
      <c r="DA197" s="150">
        <f t="shared" si="692"/>
        <v>1607</v>
      </c>
      <c r="DB197" s="150">
        <f t="shared" si="693"/>
        <v>167</v>
      </c>
      <c r="DC197" s="150">
        <v>1599.96</v>
      </c>
      <c r="DD197" s="150">
        <v>167</v>
      </c>
      <c r="DE197" s="150">
        <f t="shared" si="694"/>
        <v>7.0399999999999636</v>
      </c>
      <c r="DF197" s="150">
        <f t="shared" si="695"/>
        <v>0</v>
      </c>
      <c r="DG197" s="150">
        <f t="shared" si="942"/>
        <v>675</v>
      </c>
      <c r="DH197" s="150">
        <f t="shared" si="943"/>
        <v>70</v>
      </c>
      <c r="DI197" s="150">
        <f>+DG197-DE197</f>
        <v>667.96</v>
      </c>
      <c r="DJ197" s="150">
        <f>+DH197-DF197</f>
        <v>70</v>
      </c>
      <c r="DK197" s="104">
        <f t="shared" si="839"/>
        <v>450.03999999999996</v>
      </c>
      <c r="DL197" s="104">
        <f t="shared" si="840"/>
        <v>43</v>
      </c>
      <c r="DM197" s="104">
        <f t="shared" ref="DM197:DM260" si="949">+CU197-DA197-DI197</f>
        <v>425.03999999999996</v>
      </c>
      <c r="DN197" s="104">
        <f t="shared" ref="DN197:DN260" si="950">+CV197-DB197-DJ197</f>
        <v>63</v>
      </c>
      <c r="DO197" s="104">
        <v>2725</v>
      </c>
      <c r="DP197" s="104">
        <v>280</v>
      </c>
      <c r="DQ197" s="104">
        <v>2800</v>
      </c>
      <c r="DR197" s="104">
        <v>250</v>
      </c>
    </row>
    <row r="198" spans="1:128" ht="18.75">
      <c r="A198" s="18">
        <v>10</v>
      </c>
      <c r="B198" s="18" t="s">
        <v>323</v>
      </c>
      <c r="C198" s="19" t="s">
        <v>324</v>
      </c>
      <c r="D198" s="20" t="s">
        <v>325</v>
      </c>
      <c r="E198" s="21" t="s">
        <v>326</v>
      </c>
      <c r="F198" s="81">
        <v>935.22</v>
      </c>
      <c r="G198" s="81">
        <v>45.2</v>
      </c>
      <c r="H198" s="81">
        <v>935.22</v>
      </c>
      <c r="I198" s="22">
        <v>45.2</v>
      </c>
      <c r="J198" s="88">
        <v>932</v>
      </c>
      <c r="K198" s="88">
        <v>0</v>
      </c>
      <c r="L198" s="88">
        <v>0</v>
      </c>
      <c r="M198" s="88">
        <f t="shared" si="944"/>
        <v>932</v>
      </c>
      <c r="N198" s="88">
        <v>0</v>
      </c>
      <c r="O198" s="88">
        <v>0</v>
      </c>
      <c r="P198" s="88">
        <v>0</v>
      </c>
      <c r="Q198" s="88">
        <f t="shared" si="945"/>
        <v>0</v>
      </c>
      <c r="R198" s="88">
        <f t="shared" si="946"/>
        <v>932</v>
      </c>
      <c r="S198" s="88">
        <v>25</v>
      </c>
      <c r="V198" s="22">
        <f t="shared" si="939"/>
        <v>989.74</v>
      </c>
      <c r="W198" s="22">
        <f t="shared" si="940"/>
        <v>46.68</v>
      </c>
      <c r="X198" s="22">
        <f t="shared" si="917"/>
        <v>-57.740000000000009</v>
      </c>
      <c r="Y198" s="22">
        <f t="shared" si="918"/>
        <v>-21.68</v>
      </c>
      <c r="Z198" s="22">
        <v>932</v>
      </c>
      <c r="AA198" s="22"/>
      <c r="AB198" s="22">
        <f t="shared" si="919"/>
        <v>932</v>
      </c>
      <c r="AC198" s="109">
        <f t="shared" si="920"/>
        <v>0</v>
      </c>
      <c r="AD198" s="22">
        <f t="shared" si="947"/>
        <v>932</v>
      </c>
      <c r="AE198" s="22">
        <f>IF(Y198&gt;0,W198,S198)+11.15</f>
        <v>36.15</v>
      </c>
      <c r="AF198" s="22">
        <f t="shared" si="921"/>
        <v>22.56</v>
      </c>
      <c r="AG198" s="108">
        <f t="shared" si="922"/>
        <v>233</v>
      </c>
      <c r="AH198" s="108">
        <v>6</v>
      </c>
      <c r="AI198" s="127">
        <f t="shared" si="924"/>
        <v>78</v>
      </c>
      <c r="AJ198" s="108">
        <v>2</v>
      </c>
      <c r="AK198" s="143">
        <v>39.85</v>
      </c>
      <c r="AL198" s="143">
        <v>30.15</v>
      </c>
      <c r="AM198" s="108">
        <f t="shared" si="926"/>
        <v>233</v>
      </c>
      <c r="AN198" s="108">
        <f>ROUND(AE198*24.35%,2)-8.8</f>
        <v>0</v>
      </c>
      <c r="AQ198" s="108">
        <f t="shared" si="928"/>
        <v>505.85</v>
      </c>
      <c r="AR198" s="108">
        <f t="shared" si="929"/>
        <v>36.15</v>
      </c>
      <c r="AS198" s="116"/>
      <c r="AT198" s="116"/>
      <c r="AU198" s="116">
        <f t="shared" si="749"/>
        <v>233</v>
      </c>
      <c r="AV198" s="116">
        <f t="shared" si="892"/>
        <v>9.0399999999999991</v>
      </c>
      <c r="AW198" s="116"/>
      <c r="AX198" s="116"/>
      <c r="AY198" s="108">
        <f t="shared" si="903"/>
        <v>816.85</v>
      </c>
      <c r="AZ198" s="108">
        <f t="shared" si="904"/>
        <v>47.19</v>
      </c>
      <c r="BA198" s="108">
        <f t="shared" si="905"/>
        <v>864.04</v>
      </c>
      <c r="BB198" s="139">
        <v>732.17</v>
      </c>
      <c r="BC198" s="139">
        <v>56.84</v>
      </c>
      <c r="BD198" s="139">
        <f t="shared" si="906"/>
        <v>84.680000000000064</v>
      </c>
      <c r="BE198" s="139">
        <f t="shared" si="907"/>
        <v>-9.6500000000000057</v>
      </c>
      <c r="BF198" s="139">
        <f t="shared" si="908"/>
        <v>146.43</v>
      </c>
      <c r="BG198" s="139">
        <f t="shared" si="909"/>
        <v>11.37</v>
      </c>
      <c r="BH198" s="108">
        <v>30.88</v>
      </c>
      <c r="BI198" s="108">
        <v>1.6</v>
      </c>
      <c r="BL198" s="108">
        <f t="shared" si="948"/>
        <v>847.73</v>
      </c>
      <c r="BM198" s="108">
        <f t="shared" ref="BM198:BM261" si="951">+BI198+AZ198+BK198</f>
        <v>48.79</v>
      </c>
      <c r="BN198" s="108">
        <f t="shared" ref="BN198:BN261" si="952">BL198+BM198</f>
        <v>896.52</v>
      </c>
      <c r="BO198" s="108">
        <v>806.5</v>
      </c>
      <c r="BP198" s="127">
        <v>59.24</v>
      </c>
      <c r="BQ198" s="108">
        <f t="shared" ref="BQ198:BQ261" si="953">BL198-BO198</f>
        <v>41.230000000000018</v>
      </c>
      <c r="BR198" s="108">
        <f t="shared" ref="BR198:BR261" si="954">BM198-BP198</f>
        <v>-10.450000000000003</v>
      </c>
      <c r="BS198" s="108">
        <f t="shared" ref="BS198:BS261" si="955">ROUND(BO198/11,2)</f>
        <v>73.319999999999993</v>
      </c>
      <c r="BT198" s="108">
        <f t="shared" ref="BT198:BT261" si="956">ROUND(BP198/11,2)</f>
        <v>5.39</v>
      </c>
      <c r="BU198" s="143">
        <v>90</v>
      </c>
      <c r="BV198" s="143">
        <v>15</v>
      </c>
      <c r="BW198" s="143"/>
      <c r="BX198" s="143"/>
      <c r="BY198" s="143"/>
      <c r="BZ198" s="143"/>
      <c r="CA198" s="108">
        <v>937.73</v>
      </c>
      <c r="CB198" s="108">
        <v>63.79</v>
      </c>
      <c r="CC198">
        <v>1031.5</v>
      </c>
      <c r="CD198">
        <v>73.36</v>
      </c>
      <c r="CE198" s="189">
        <v>86</v>
      </c>
      <c r="CF198" s="189">
        <v>6</v>
      </c>
      <c r="CG198" s="189">
        <f t="shared" ref="CG198:CG261" si="957">ROUND(CA198/12*3,2)</f>
        <v>234.43</v>
      </c>
      <c r="CH198" s="189">
        <f t="shared" ref="CH198:CH261" si="958">ROUND(CB198/12*3,2)</f>
        <v>15.95</v>
      </c>
      <c r="CI198" s="150"/>
      <c r="CJ198" s="150"/>
      <c r="CK198" s="150">
        <v>250</v>
      </c>
      <c r="CL198" s="150">
        <f>100-50</f>
        <v>50</v>
      </c>
      <c r="CM198" s="150">
        <v>50</v>
      </c>
      <c r="CN198" s="150">
        <f>50+60</f>
        <v>110</v>
      </c>
      <c r="CO198" s="150">
        <v>1112</v>
      </c>
      <c r="CP198" s="150">
        <v>110</v>
      </c>
      <c r="CQ198" s="150">
        <f t="shared" ref="CQ198:CQ261" si="959">ROUND(CK198/3*12,2)</f>
        <v>1000</v>
      </c>
      <c r="CR198" s="150">
        <f t="shared" ref="CR198:CR261" si="960">ROUND(CL198/3*12,2)</f>
        <v>200</v>
      </c>
      <c r="CS198" s="150">
        <f t="shared" ref="CS198:CS261" si="961">IF(CO198&lt;CQ198,CO198,CQ198)</f>
        <v>1000</v>
      </c>
      <c r="CT198" s="150">
        <f t="shared" ref="CT198:CV259" si="962">IF(CP198&lt;CR198,CP198,CR198)</f>
        <v>110</v>
      </c>
      <c r="CU198" s="150">
        <v>1000</v>
      </c>
      <c r="CV198" s="150">
        <f>110+56</f>
        <v>166</v>
      </c>
      <c r="CW198" s="150">
        <f t="shared" ref="CW198:CX261" si="963">ROUND(CU198*25%,2)</f>
        <v>250</v>
      </c>
      <c r="CX198" s="150">
        <f>ROUND(CV198*25%,2)-41.5</f>
        <v>0</v>
      </c>
      <c r="CY198" s="150"/>
      <c r="CZ198" s="150"/>
      <c r="DA198" s="150">
        <f t="shared" ref="DA198:DA261" si="964">+CY198+CW198+CM198+CK198+CE198</f>
        <v>636</v>
      </c>
      <c r="DB198" s="150">
        <f t="shared" ref="DB198:DB261" si="965">+CZ198+CX198+CN198+CL198+CF198</f>
        <v>166</v>
      </c>
      <c r="DC198" s="150">
        <v>674.35</v>
      </c>
      <c r="DD198" s="150">
        <v>144.91</v>
      </c>
      <c r="DE198" s="150">
        <f t="shared" ref="DE198:DE261" si="966">+DA198-DC198</f>
        <v>-38.350000000000023</v>
      </c>
      <c r="DF198" s="150">
        <f t="shared" ref="DF198:DF261" si="967">+DB198-DD198</f>
        <v>21.090000000000003</v>
      </c>
      <c r="DG198" s="150">
        <f t="shared" si="942"/>
        <v>250</v>
      </c>
      <c r="DH198" s="150">
        <f t="shared" si="943"/>
        <v>41.5</v>
      </c>
      <c r="DI198" s="150">
        <f t="shared" ref="DI198:DI204" si="968">+DG198-DE198</f>
        <v>288.35000000000002</v>
      </c>
      <c r="DJ198" s="150">
        <f>+DH198-DF198-20.41</f>
        <v>0</v>
      </c>
      <c r="DK198" s="104">
        <f t="shared" si="839"/>
        <v>75.649999999999977</v>
      </c>
      <c r="DL198" s="104">
        <f t="shared" si="840"/>
        <v>38.909999999999997</v>
      </c>
      <c r="DM198" s="104">
        <f t="shared" si="949"/>
        <v>75.649999999999977</v>
      </c>
      <c r="DN198" s="104">
        <f t="shared" si="950"/>
        <v>0</v>
      </c>
      <c r="DO198" s="104">
        <v>1000</v>
      </c>
      <c r="DP198" s="104">
        <v>204.91</v>
      </c>
      <c r="DQ198" s="104">
        <v>1150</v>
      </c>
      <c r="DR198" s="104">
        <v>140</v>
      </c>
    </row>
    <row r="199" spans="1:128" ht="18.75">
      <c r="A199" s="13">
        <v>11</v>
      </c>
      <c r="B199" s="13"/>
      <c r="C199" s="14"/>
      <c r="D199" s="15" t="s">
        <v>327</v>
      </c>
      <c r="E199" s="16"/>
      <c r="F199" s="81">
        <v>1625.58</v>
      </c>
      <c r="G199" s="81">
        <v>63.18</v>
      </c>
      <c r="H199" s="81">
        <v>1625.58</v>
      </c>
      <c r="I199" s="17">
        <v>79.47</v>
      </c>
      <c r="J199" s="86">
        <v>1900</v>
      </c>
      <c r="K199" s="87">
        <v>0</v>
      </c>
      <c r="L199" s="87">
        <v>0</v>
      </c>
      <c r="M199" s="87">
        <f t="shared" ref="M199:M204" si="969">J199+K199+L199</f>
        <v>1900</v>
      </c>
      <c r="N199" s="87">
        <v>0</v>
      </c>
      <c r="O199" s="87">
        <v>0</v>
      </c>
      <c r="P199" s="87">
        <v>0</v>
      </c>
      <c r="Q199" s="87">
        <f t="shared" ref="Q199:Q204" si="970">N199+O199+P199</f>
        <v>0</v>
      </c>
      <c r="R199" s="87">
        <f t="shared" si="946"/>
        <v>1900</v>
      </c>
      <c r="S199" s="87">
        <v>60</v>
      </c>
      <c r="V199" s="17">
        <f t="shared" si="939"/>
        <v>1720.35</v>
      </c>
      <c r="W199" s="17">
        <f t="shared" si="940"/>
        <v>82.07</v>
      </c>
      <c r="X199" s="108">
        <f t="shared" si="917"/>
        <v>179.65000000000009</v>
      </c>
      <c r="Y199" s="108">
        <f t="shared" si="918"/>
        <v>-22.069999999999993</v>
      </c>
      <c r="Z199" s="108">
        <v>1720.35</v>
      </c>
      <c r="AA199" s="108"/>
      <c r="AB199" s="108">
        <f t="shared" si="919"/>
        <v>1720.35</v>
      </c>
      <c r="AC199" s="109">
        <f t="shared" si="920"/>
        <v>0</v>
      </c>
      <c r="AD199" s="108">
        <f t="shared" si="947"/>
        <v>1720.35</v>
      </c>
      <c r="AE199" s="108">
        <f>IF(Y199&gt;0,W199,S199)+73</f>
        <v>133</v>
      </c>
      <c r="AF199" s="108">
        <f t="shared" si="921"/>
        <v>54.13</v>
      </c>
      <c r="AG199" s="108">
        <f t="shared" si="922"/>
        <v>430</v>
      </c>
      <c r="AH199" s="108">
        <f>ROUND(AE199/4,0)-18</f>
        <v>15</v>
      </c>
      <c r="AI199" s="127">
        <f t="shared" si="924"/>
        <v>143</v>
      </c>
      <c r="AJ199" s="108">
        <f>ROUND(AE199/12,0)-6</f>
        <v>5</v>
      </c>
      <c r="AM199" s="108">
        <f t="shared" si="926"/>
        <v>430.09</v>
      </c>
      <c r="AN199" s="108">
        <f>ROUND(AE199*24.35%,2)-17.78</f>
        <v>14.61</v>
      </c>
      <c r="AQ199" s="108">
        <f t="shared" si="928"/>
        <v>860.08999999999992</v>
      </c>
      <c r="AR199" s="108">
        <f t="shared" si="929"/>
        <v>29.61</v>
      </c>
      <c r="AS199" s="116"/>
      <c r="AT199" s="116">
        <v>73</v>
      </c>
      <c r="AU199" s="116">
        <f t="shared" si="749"/>
        <v>430.09</v>
      </c>
      <c r="AV199" s="116">
        <v>25.39</v>
      </c>
      <c r="AW199" s="116"/>
      <c r="AX199" s="143">
        <v>9</v>
      </c>
      <c r="AY199" s="108">
        <f t="shared" si="903"/>
        <v>1433.1799999999998</v>
      </c>
      <c r="AZ199" s="108">
        <f t="shared" si="904"/>
        <v>142</v>
      </c>
      <c r="BA199" s="108">
        <f t="shared" si="905"/>
        <v>1575.1799999999998</v>
      </c>
      <c r="BB199" s="139">
        <v>1433.18</v>
      </c>
      <c r="BC199" s="139">
        <v>142</v>
      </c>
      <c r="BD199" s="139">
        <f t="shared" si="906"/>
        <v>0</v>
      </c>
      <c r="BE199" s="139">
        <f t="shared" si="907"/>
        <v>0</v>
      </c>
      <c r="BF199" s="139">
        <f t="shared" si="908"/>
        <v>286.64</v>
      </c>
      <c r="BG199" s="139">
        <f t="shared" si="909"/>
        <v>28.4</v>
      </c>
      <c r="BH199" s="108">
        <v>143.32</v>
      </c>
      <c r="BI199" s="108">
        <v>0</v>
      </c>
      <c r="BL199" s="108">
        <f t="shared" si="948"/>
        <v>1576.4999999999998</v>
      </c>
      <c r="BM199" s="108">
        <f t="shared" si="951"/>
        <v>142</v>
      </c>
      <c r="BN199" s="108">
        <f t="shared" si="952"/>
        <v>1718.4999999999998</v>
      </c>
      <c r="BO199" s="108">
        <v>1576.5</v>
      </c>
      <c r="BP199" s="127">
        <v>142</v>
      </c>
      <c r="BQ199" s="108">
        <f t="shared" si="953"/>
        <v>0</v>
      </c>
      <c r="BR199" s="108">
        <f t="shared" si="954"/>
        <v>0</v>
      </c>
      <c r="BS199" s="108">
        <f t="shared" si="955"/>
        <v>143.32</v>
      </c>
      <c r="BT199" s="108">
        <f t="shared" si="956"/>
        <v>12.91</v>
      </c>
      <c r="BU199" s="108">
        <f t="shared" ref="BU199:BU203" si="971">ROUND(BS199-BQ199,2)</f>
        <v>143.32</v>
      </c>
      <c r="BV199" s="108">
        <v>0</v>
      </c>
      <c r="BW199" s="108">
        <v>35.18</v>
      </c>
      <c r="BX199" s="108">
        <v>22</v>
      </c>
      <c r="CA199" s="108">
        <v>1754.9999999999998</v>
      </c>
      <c r="CB199" s="108">
        <v>164</v>
      </c>
      <c r="CC199">
        <v>1930.5</v>
      </c>
      <c r="CD199">
        <v>188.6</v>
      </c>
      <c r="CE199" s="189">
        <v>161</v>
      </c>
      <c r="CF199" s="189">
        <v>16</v>
      </c>
      <c r="CG199" s="189">
        <f t="shared" si="957"/>
        <v>438.75</v>
      </c>
      <c r="CH199" s="189">
        <f t="shared" si="958"/>
        <v>41</v>
      </c>
      <c r="CI199" s="150"/>
      <c r="CJ199" s="150"/>
      <c r="CK199" s="150">
        <v>440</v>
      </c>
      <c r="CL199" s="150">
        <v>0</v>
      </c>
      <c r="CM199" s="150"/>
      <c r="CN199" s="150"/>
      <c r="CO199" s="150">
        <v>1800</v>
      </c>
      <c r="CP199" s="150">
        <v>200</v>
      </c>
      <c r="CQ199" s="150">
        <f t="shared" si="959"/>
        <v>1760</v>
      </c>
      <c r="CR199" s="150">
        <f t="shared" si="960"/>
        <v>0</v>
      </c>
      <c r="CS199" s="150">
        <f t="shared" si="961"/>
        <v>1760</v>
      </c>
      <c r="CT199" s="150">
        <f>IF(CP199&lt;CR199,CP199,CR199)+268</f>
        <v>268</v>
      </c>
      <c r="CU199" s="150">
        <v>1800</v>
      </c>
      <c r="CV199" s="150">
        <v>268</v>
      </c>
      <c r="CW199" s="150">
        <f t="shared" si="963"/>
        <v>450</v>
      </c>
      <c r="CX199" s="150">
        <f t="shared" si="963"/>
        <v>67</v>
      </c>
      <c r="CY199" s="150"/>
      <c r="CZ199" s="150"/>
      <c r="DA199" s="150">
        <f t="shared" si="964"/>
        <v>1051</v>
      </c>
      <c r="DB199" s="150">
        <f t="shared" si="965"/>
        <v>83</v>
      </c>
      <c r="DC199" s="150">
        <v>1051</v>
      </c>
      <c r="DD199" s="150">
        <v>83</v>
      </c>
      <c r="DE199" s="150">
        <f t="shared" si="966"/>
        <v>0</v>
      </c>
      <c r="DF199" s="150">
        <f t="shared" si="967"/>
        <v>0</v>
      </c>
      <c r="DG199" s="150">
        <f t="shared" si="942"/>
        <v>450</v>
      </c>
      <c r="DH199" s="150">
        <f t="shared" si="943"/>
        <v>67</v>
      </c>
      <c r="DI199" s="150">
        <f t="shared" si="968"/>
        <v>450</v>
      </c>
      <c r="DJ199" s="150">
        <f t="shared" ref="DJ199:DJ204" si="972">+DH199-DF199</f>
        <v>67</v>
      </c>
      <c r="DK199" s="104">
        <f t="shared" si="839"/>
        <v>349</v>
      </c>
      <c r="DL199" s="104">
        <f t="shared" si="840"/>
        <v>118</v>
      </c>
      <c r="DM199" s="104">
        <f t="shared" si="949"/>
        <v>299</v>
      </c>
      <c r="DN199" s="104">
        <f t="shared" si="950"/>
        <v>118</v>
      </c>
      <c r="DO199" s="104">
        <v>1850</v>
      </c>
      <c r="DP199" s="104">
        <v>268</v>
      </c>
      <c r="DQ199" s="104">
        <v>1900</v>
      </c>
      <c r="DR199" s="104">
        <v>372</v>
      </c>
    </row>
    <row r="200" spans="1:128" ht="18.75">
      <c r="A200" s="13">
        <v>12</v>
      </c>
      <c r="B200" s="13"/>
      <c r="C200" s="14"/>
      <c r="D200" s="15" t="s">
        <v>328</v>
      </c>
      <c r="E200" s="16"/>
      <c r="F200" s="81">
        <v>572.42999999999984</v>
      </c>
      <c r="G200" s="81">
        <v>0</v>
      </c>
      <c r="H200" s="81">
        <v>572.42999999999984</v>
      </c>
      <c r="I200" s="17">
        <v>0</v>
      </c>
      <c r="J200" s="86">
        <v>852.63</v>
      </c>
      <c r="K200" s="87">
        <v>0</v>
      </c>
      <c r="L200" s="87">
        <v>0</v>
      </c>
      <c r="M200" s="87">
        <f t="shared" si="969"/>
        <v>852.63</v>
      </c>
      <c r="N200" s="87">
        <v>0</v>
      </c>
      <c r="O200" s="87">
        <v>0</v>
      </c>
      <c r="P200" s="87">
        <v>0</v>
      </c>
      <c r="Q200" s="87">
        <f t="shared" si="970"/>
        <v>0</v>
      </c>
      <c r="R200" s="87">
        <f t="shared" si="946"/>
        <v>852.63</v>
      </c>
      <c r="S200" s="87"/>
      <c r="V200" s="17">
        <f t="shared" ref="V200:V204" si="973">ROUND(H200*1.0583,2)</f>
        <v>605.79999999999995</v>
      </c>
      <c r="W200" s="17">
        <f t="shared" ref="W200:W204" si="974">ROUND(I200*1.0327,2)</f>
        <v>0</v>
      </c>
      <c r="X200" s="108">
        <f t="shared" si="917"/>
        <v>246.83000000000004</v>
      </c>
      <c r="Y200" s="108">
        <f t="shared" si="918"/>
        <v>0</v>
      </c>
      <c r="Z200" s="108">
        <v>605.79999999999995</v>
      </c>
      <c r="AA200" s="108"/>
      <c r="AB200" s="108">
        <f t="shared" si="919"/>
        <v>605.79999999999995</v>
      </c>
      <c r="AC200" s="109">
        <f t="shared" si="920"/>
        <v>0</v>
      </c>
      <c r="AD200" s="108">
        <f t="shared" ref="AD200:AD204" si="975">IF(X200&gt;0,V200,R200)</f>
        <v>605.79999999999995</v>
      </c>
      <c r="AE200" s="108">
        <f t="shared" ref="AE200:AE204" si="976">IF(Y200&gt;0,W200,S200)</f>
        <v>0</v>
      </c>
      <c r="AF200" s="108">
        <f t="shared" si="921"/>
        <v>0</v>
      </c>
      <c r="AG200" s="108">
        <f t="shared" si="922"/>
        <v>151</v>
      </c>
      <c r="AH200" s="108">
        <f t="shared" si="923"/>
        <v>0</v>
      </c>
      <c r="AI200" s="127">
        <f t="shared" si="924"/>
        <v>50</v>
      </c>
      <c r="AJ200" s="108">
        <f t="shared" si="925"/>
        <v>0</v>
      </c>
      <c r="AM200" s="108">
        <f t="shared" si="926"/>
        <v>151.44999999999999</v>
      </c>
      <c r="AN200" s="108">
        <f t="shared" si="927"/>
        <v>0</v>
      </c>
      <c r="AQ200" s="108">
        <f t="shared" si="928"/>
        <v>302.45</v>
      </c>
      <c r="AR200" s="108">
        <f t="shared" si="929"/>
        <v>0</v>
      </c>
      <c r="AS200" s="116"/>
      <c r="AT200" s="116"/>
      <c r="AU200" s="116">
        <f t="shared" si="749"/>
        <v>151.44999999999999</v>
      </c>
      <c r="AV200" s="116">
        <f t="shared" si="892"/>
        <v>0</v>
      </c>
      <c r="AW200" s="116"/>
      <c r="AX200" s="116"/>
      <c r="AY200" s="108">
        <f t="shared" si="903"/>
        <v>503.9</v>
      </c>
      <c r="AZ200" s="108">
        <f t="shared" si="904"/>
        <v>0</v>
      </c>
      <c r="BA200" s="108">
        <f t="shared" si="905"/>
        <v>503.9</v>
      </c>
      <c r="BB200" s="139">
        <v>503.9</v>
      </c>
      <c r="BD200" s="139">
        <f t="shared" si="906"/>
        <v>0</v>
      </c>
      <c r="BE200" s="139">
        <f t="shared" si="907"/>
        <v>0</v>
      </c>
      <c r="BF200" s="139">
        <f t="shared" si="908"/>
        <v>100.78</v>
      </c>
      <c r="BG200" s="139">
        <f t="shared" si="909"/>
        <v>0</v>
      </c>
      <c r="BH200" s="108">
        <v>50.39</v>
      </c>
      <c r="BI200" s="108">
        <v>0</v>
      </c>
      <c r="BL200" s="108">
        <f t="shared" si="948"/>
        <v>554.29</v>
      </c>
      <c r="BM200" s="108">
        <f t="shared" si="951"/>
        <v>0</v>
      </c>
      <c r="BN200" s="108">
        <f t="shared" si="952"/>
        <v>554.29</v>
      </c>
      <c r="BO200" s="108">
        <v>503.9</v>
      </c>
      <c r="BP200" s="127"/>
      <c r="BQ200" s="108">
        <f t="shared" si="953"/>
        <v>50.389999999999986</v>
      </c>
      <c r="BR200" s="108">
        <f t="shared" si="954"/>
        <v>0</v>
      </c>
      <c r="BS200" s="108">
        <f t="shared" si="955"/>
        <v>45.81</v>
      </c>
      <c r="BT200" s="108">
        <f t="shared" si="956"/>
        <v>0</v>
      </c>
      <c r="BU200" s="108">
        <f t="shared" si="971"/>
        <v>-4.58</v>
      </c>
      <c r="BV200" s="108">
        <v>0</v>
      </c>
      <c r="CA200" s="108">
        <v>549.70999999999992</v>
      </c>
      <c r="CB200" s="108">
        <v>0</v>
      </c>
      <c r="CC200">
        <v>604.67999999999995</v>
      </c>
      <c r="CD200">
        <v>0</v>
      </c>
      <c r="CE200" s="189">
        <v>50</v>
      </c>
      <c r="CF200" s="189">
        <v>0</v>
      </c>
      <c r="CG200" s="189">
        <f t="shared" si="957"/>
        <v>137.43</v>
      </c>
      <c r="CH200" s="189">
        <f t="shared" si="958"/>
        <v>0</v>
      </c>
      <c r="CI200" s="150"/>
      <c r="CJ200" s="150"/>
      <c r="CK200" s="150">
        <v>135</v>
      </c>
      <c r="CL200" s="150">
        <v>0</v>
      </c>
      <c r="CM200" s="150"/>
      <c r="CN200" s="150"/>
      <c r="CO200" s="150">
        <v>725</v>
      </c>
      <c r="CP200" s="150"/>
      <c r="CQ200" s="150">
        <f t="shared" si="959"/>
        <v>540</v>
      </c>
      <c r="CR200" s="150">
        <f t="shared" si="960"/>
        <v>0</v>
      </c>
      <c r="CS200" s="150">
        <f t="shared" si="961"/>
        <v>540</v>
      </c>
      <c r="CT200" s="150">
        <f t="shared" si="962"/>
        <v>0</v>
      </c>
      <c r="CU200" s="150">
        <v>540</v>
      </c>
      <c r="CV200" s="150">
        <v>0</v>
      </c>
      <c r="CW200" s="150">
        <f t="shared" si="963"/>
        <v>135</v>
      </c>
      <c r="CX200" s="150">
        <f t="shared" si="963"/>
        <v>0</v>
      </c>
      <c r="CY200" s="150"/>
      <c r="CZ200" s="150"/>
      <c r="DA200" s="150">
        <f t="shared" si="964"/>
        <v>320</v>
      </c>
      <c r="DB200" s="150">
        <f t="shared" si="965"/>
        <v>0</v>
      </c>
      <c r="DC200" s="150">
        <v>270</v>
      </c>
      <c r="DD200" s="150">
        <v>0</v>
      </c>
      <c r="DE200" s="150">
        <f t="shared" si="966"/>
        <v>50</v>
      </c>
      <c r="DF200" s="150">
        <f t="shared" si="967"/>
        <v>0</v>
      </c>
      <c r="DG200" s="150">
        <f t="shared" si="942"/>
        <v>135</v>
      </c>
      <c r="DH200" s="150">
        <f t="shared" si="943"/>
        <v>0</v>
      </c>
      <c r="DI200" s="150">
        <f t="shared" si="968"/>
        <v>85</v>
      </c>
      <c r="DJ200" s="150">
        <f t="shared" si="972"/>
        <v>0</v>
      </c>
      <c r="DK200" s="104">
        <f t="shared" si="839"/>
        <v>255</v>
      </c>
      <c r="DL200" s="104">
        <f t="shared" si="840"/>
        <v>0</v>
      </c>
      <c r="DM200" s="104">
        <f t="shared" si="949"/>
        <v>135</v>
      </c>
      <c r="DN200" s="104">
        <f t="shared" si="950"/>
        <v>0</v>
      </c>
      <c r="DO200" s="104">
        <v>660</v>
      </c>
      <c r="DQ200" s="104">
        <v>690</v>
      </c>
    </row>
    <row r="201" spans="1:128" ht="18.75">
      <c r="A201" s="13">
        <v>13</v>
      </c>
      <c r="B201" s="13"/>
      <c r="C201" s="14"/>
      <c r="D201" s="15" t="s">
        <v>329</v>
      </c>
      <c r="E201" s="16"/>
      <c r="F201" s="81">
        <v>177.71</v>
      </c>
      <c r="G201" s="81">
        <v>0</v>
      </c>
      <c r="H201" s="81">
        <v>177.71</v>
      </c>
      <c r="I201" s="17">
        <v>0</v>
      </c>
      <c r="J201" s="86">
        <v>222</v>
      </c>
      <c r="K201" s="87">
        <v>0</v>
      </c>
      <c r="L201" s="87">
        <v>0</v>
      </c>
      <c r="M201" s="87">
        <f t="shared" si="969"/>
        <v>222</v>
      </c>
      <c r="N201" s="87">
        <v>0</v>
      </c>
      <c r="O201" s="87">
        <v>0</v>
      </c>
      <c r="P201" s="87">
        <v>0</v>
      </c>
      <c r="Q201" s="87">
        <f t="shared" si="970"/>
        <v>0</v>
      </c>
      <c r="R201" s="87">
        <f t="shared" si="946"/>
        <v>222</v>
      </c>
      <c r="S201" s="87"/>
      <c r="V201" s="17">
        <f t="shared" si="973"/>
        <v>188.07</v>
      </c>
      <c r="W201" s="17">
        <f t="shared" si="974"/>
        <v>0</v>
      </c>
      <c r="X201" s="108">
        <f t="shared" si="917"/>
        <v>33.930000000000007</v>
      </c>
      <c r="Y201" s="108">
        <f t="shared" si="918"/>
        <v>0</v>
      </c>
      <c r="Z201" s="108">
        <v>188.07</v>
      </c>
      <c r="AA201" s="108"/>
      <c r="AB201" s="108">
        <f t="shared" si="919"/>
        <v>188.07</v>
      </c>
      <c r="AC201" s="109">
        <f t="shared" si="920"/>
        <v>0</v>
      </c>
      <c r="AD201" s="108">
        <f t="shared" si="975"/>
        <v>188.07</v>
      </c>
      <c r="AE201" s="108">
        <f t="shared" si="976"/>
        <v>0</v>
      </c>
      <c r="AF201" s="108">
        <f t="shared" si="921"/>
        <v>0</v>
      </c>
      <c r="AG201" s="108">
        <f t="shared" si="922"/>
        <v>47</v>
      </c>
      <c r="AH201" s="108">
        <f t="shared" si="923"/>
        <v>0</v>
      </c>
      <c r="AI201" s="127">
        <f t="shared" si="924"/>
        <v>16</v>
      </c>
      <c r="AJ201" s="108">
        <f t="shared" si="925"/>
        <v>0</v>
      </c>
      <c r="AM201" s="108">
        <f t="shared" si="926"/>
        <v>47.02</v>
      </c>
      <c r="AN201" s="108">
        <f t="shared" si="927"/>
        <v>0</v>
      </c>
      <c r="AQ201" s="108">
        <f t="shared" si="928"/>
        <v>94.02000000000001</v>
      </c>
      <c r="AR201" s="108">
        <f t="shared" si="929"/>
        <v>0</v>
      </c>
      <c r="AS201" s="116"/>
      <c r="AT201" s="116"/>
      <c r="AU201" s="116">
        <f t="shared" si="749"/>
        <v>47.02</v>
      </c>
      <c r="AV201" s="116">
        <f t="shared" si="892"/>
        <v>0</v>
      </c>
      <c r="AW201" s="116"/>
      <c r="AX201" s="116"/>
      <c r="AY201" s="108">
        <f t="shared" si="903"/>
        <v>157.04000000000002</v>
      </c>
      <c r="AZ201" s="108">
        <f t="shared" si="904"/>
        <v>0</v>
      </c>
      <c r="BA201" s="108">
        <f t="shared" si="905"/>
        <v>157.04000000000002</v>
      </c>
      <c r="BB201" s="139">
        <v>157</v>
      </c>
      <c r="BD201" s="139">
        <f t="shared" si="906"/>
        <v>4.0000000000020464E-2</v>
      </c>
      <c r="BE201" s="139">
        <f t="shared" si="907"/>
        <v>0</v>
      </c>
      <c r="BF201" s="139">
        <f t="shared" si="908"/>
        <v>31.4</v>
      </c>
      <c r="BG201" s="139">
        <f t="shared" si="909"/>
        <v>0</v>
      </c>
      <c r="BH201" s="108">
        <v>15.68</v>
      </c>
      <c r="BI201" s="108">
        <v>0</v>
      </c>
      <c r="BL201" s="108">
        <f t="shared" si="948"/>
        <v>172.72000000000003</v>
      </c>
      <c r="BM201" s="108">
        <f t="shared" si="951"/>
        <v>0</v>
      </c>
      <c r="BN201" s="108">
        <f t="shared" si="952"/>
        <v>172.72000000000003</v>
      </c>
      <c r="BO201" s="108">
        <v>157</v>
      </c>
      <c r="BP201" s="127"/>
      <c r="BQ201" s="108">
        <f t="shared" si="953"/>
        <v>15.720000000000027</v>
      </c>
      <c r="BR201" s="108">
        <f t="shared" si="954"/>
        <v>0</v>
      </c>
      <c r="BS201" s="108">
        <f t="shared" si="955"/>
        <v>14.27</v>
      </c>
      <c r="BT201" s="108">
        <f t="shared" si="956"/>
        <v>0</v>
      </c>
      <c r="BU201" s="108">
        <f t="shared" si="971"/>
        <v>-1.45</v>
      </c>
      <c r="BV201" s="108">
        <v>0</v>
      </c>
      <c r="BW201" s="108">
        <v>1.41</v>
      </c>
      <c r="CA201" s="108">
        <v>172.68000000000004</v>
      </c>
      <c r="CB201" s="108">
        <v>0</v>
      </c>
      <c r="CC201">
        <v>189.95</v>
      </c>
      <c r="CD201">
        <v>0</v>
      </c>
      <c r="CE201" s="189">
        <v>16</v>
      </c>
      <c r="CF201" s="189">
        <v>0</v>
      </c>
      <c r="CG201" s="189">
        <f t="shared" si="957"/>
        <v>43.17</v>
      </c>
      <c r="CH201" s="189">
        <f t="shared" si="958"/>
        <v>0</v>
      </c>
      <c r="CI201" s="150"/>
      <c r="CJ201" s="150"/>
      <c r="CK201" s="150">
        <v>43</v>
      </c>
      <c r="CL201" s="150">
        <v>0</v>
      </c>
      <c r="CM201" s="150"/>
      <c r="CN201" s="150"/>
      <c r="CO201" s="150">
        <v>225</v>
      </c>
      <c r="CP201" s="150"/>
      <c r="CQ201" s="150">
        <f t="shared" si="959"/>
        <v>172</v>
      </c>
      <c r="CR201" s="150">
        <f t="shared" si="960"/>
        <v>0</v>
      </c>
      <c r="CS201" s="150">
        <f t="shared" si="961"/>
        <v>172</v>
      </c>
      <c r="CT201" s="150">
        <f t="shared" si="962"/>
        <v>0</v>
      </c>
      <c r="CU201" s="150">
        <v>250</v>
      </c>
      <c r="CV201" s="150">
        <v>0</v>
      </c>
      <c r="CW201" s="150">
        <f t="shared" si="963"/>
        <v>62.5</v>
      </c>
      <c r="CX201" s="150">
        <f t="shared" si="963"/>
        <v>0</v>
      </c>
      <c r="CY201" s="150"/>
      <c r="CZ201" s="150"/>
      <c r="DA201" s="150">
        <f t="shared" si="964"/>
        <v>121.5</v>
      </c>
      <c r="DB201" s="150">
        <f t="shared" si="965"/>
        <v>0</v>
      </c>
      <c r="DC201" s="150">
        <v>109.04</v>
      </c>
      <c r="DD201" s="150">
        <v>0</v>
      </c>
      <c r="DE201" s="150">
        <f t="shared" si="966"/>
        <v>12.459999999999994</v>
      </c>
      <c r="DF201" s="150">
        <f t="shared" si="967"/>
        <v>0</v>
      </c>
      <c r="DG201" s="150">
        <f t="shared" si="942"/>
        <v>62.5</v>
      </c>
      <c r="DH201" s="150">
        <f t="shared" si="943"/>
        <v>0</v>
      </c>
      <c r="DI201" s="150">
        <f t="shared" si="968"/>
        <v>50.040000000000006</v>
      </c>
      <c r="DJ201" s="150">
        <f t="shared" si="972"/>
        <v>0</v>
      </c>
      <c r="DK201" s="104">
        <f t="shared" si="839"/>
        <v>78.459999999999994</v>
      </c>
      <c r="DL201" s="104">
        <f t="shared" si="840"/>
        <v>0</v>
      </c>
      <c r="DM201" s="104">
        <f t="shared" si="949"/>
        <v>78.459999999999994</v>
      </c>
      <c r="DN201" s="104">
        <f t="shared" si="950"/>
        <v>0</v>
      </c>
      <c r="DO201" s="104">
        <v>250</v>
      </c>
      <c r="DQ201" s="104">
        <v>211.2</v>
      </c>
    </row>
    <row r="202" spans="1:128" ht="18.75">
      <c r="A202" s="13">
        <v>14</v>
      </c>
      <c r="B202" s="13"/>
      <c r="C202" s="14"/>
      <c r="D202" s="15" t="s">
        <v>330</v>
      </c>
      <c r="E202" s="16"/>
      <c r="F202" s="81">
        <v>593.29000000000008</v>
      </c>
      <c r="G202" s="81">
        <v>0</v>
      </c>
      <c r="H202" s="81">
        <v>593.29000000000008</v>
      </c>
      <c r="I202" s="17">
        <v>0</v>
      </c>
      <c r="J202" s="86">
        <v>831.31</v>
      </c>
      <c r="K202" s="87">
        <v>0</v>
      </c>
      <c r="L202" s="87">
        <v>0</v>
      </c>
      <c r="M202" s="87">
        <f t="shared" si="969"/>
        <v>831.31</v>
      </c>
      <c r="N202" s="87">
        <v>0</v>
      </c>
      <c r="O202" s="87">
        <v>0</v>
      </c>
      <c r="P202" s="87">
        <v>0</v>
      </c>
      <c r="Q202" s="87">
        <f t="shared" si="970"/>
        <v>0</v>
      </c>
      <c r="R202" s="87">
        <f t="shared" si="946"/>
        <v>831.31</v>
      </c>
      <c r="S202" s="87"/>
      <c r="V202" s="17">
        <f t="shared" si="973"/>
        <v>627.88</v>
      </c>
      <c r="W202" s="17">
        <f t="shared" si="974"/>
        <v>0</v>
      </c>
      <c r="X202" s="108">
        <f t="shared" si="917"/>
        <v>203.42999999999995</v>
      </c>
      <c r="Y202" s="108">
        <f t="shared" si="918"/>
        <v>0</v>
      </c>
      <c r="Z202" s="108">
        <v>627.88</v>
      </c>
      <c r="AA202" s="108"/>
      <c r="AB202" s="108">
        <f t="shared" si="919"/>
        <v>627.88</v>
      </c>
      <c r="AC202" s="109">
        <f t="shared" si="920"/>
        <v>0</v>
      </c>
      <c r="AD202" s="108">
        <f t="shared" si="975"/>
        <v>627.88</v>
      </c>
      <c r="AE202" s="108">
        <f t="shared" si="976"/>
        <v>0</v>
      </c>
      <c r="AF202" s="108">
        <f t="shared" si="921"/>
        <v>0</v>
      </c>
      <c r="AG202" s="108">
        <f t="shared" si="922"/>
        <v>157</v>
      </c>
      <c r="AH202" s="108">
        <f t="shared" si="923"/>
        <v>0</v>
      </c>
      <c r="AI202" s="127">
        <f t="shared" si="924"/>
        <v>52</v>
      </c>
      <c r="AJ202" s="108">
        <f t="shared" si="925"/>
        <v>0</v>
      </c>
      <c r="AM202" s="108">
        <f t="shared" si="926"/>
        <v>156.97</v>
      </c>
      <c r="AN202" s="108">
        <f t="shared" si="927"/>
        <v>0</v>
      </c>
      <c r="AQ202" s="108">
        <f t="shared" si="928"/>
        <v>313.97000000000003</v>
      </c>
      <c r="AR202" s="108">
        <f t="shared" si="929"/>
        <v>0</v>
      </c>
      <c r="AU202" s="108">
        <f t="shared" si="749"/>
        <v>156.97</v>
      </c>
      <c r="AV202" s="108">
        <f t="shared" si="892"/>
        <v>0</v>
      </c>
      <c r="AY202" s="108">
        <f t="shared" si="903"/>
        <v>522.94000000000005</v>
      </c>
      <c r="AZ202" s="108">
        <f t="shared" si="904"/>
        <v>0</v>
      </c>
      <c r="BA202" s="108">
        <f t="shared" si="905"/>
        <v>522.94000000000005</v>
      </c>
      <c r="BB202" s="139">
        <v>522.94000000000005</v>
      </c>
      <c r="BD202" s="139">
        <f t="shared" si="906"/>
        <v>0</v>
      </c>
      <c r="BE202" s="139">
        <f t="shared" si="907"/>
        <v>0</v>
      </c>
      <c r="BF202" s="139">
        <f t="shared" si="908"/>
        <v>104.59</v>
      </c>
      <c r="BG202" s="139">
        <f t="shared" si="909"/>
        <v>0</v>
      </c>
      <c r="BH202" s="108">
        <v>52.3</v>
      </c>
      <c r="BI202" s="108">
        <v>0</v>
      </c>
      <c r="BL202" s="108">
        <f t="shared" si="948"/>
        <v>575.24</v>
      </c>
      <c r="BM202" s="108">
        <f t="shared" si="951"/>
        <v>0</v>
      </c>
      <c r="BN202" s="108">
        <f t="shared" si="952"/>
        <v>575.24</v>
      </c>
      <c r="BO202" s="108">
        <v>522.94000000000005</v>
      </c>
      <c r="BP202" s="127"/>
      <c r="BQ202" s="108">
        <f t="shared" si="953"/>
        <v>52.299999999999955</v>
      </c>
      <c r="BR202" s="108">
        <f t="shared" si="954"/>
        <v>0</v>
      </c>
      <c r="BS202" s="108">
        <f t="shared" si="955"/>
        <v>47.54</v>
      </c>
      <c r="BT202" s="108">
        <f t="shared" si="956"/>
        <v>0</v>
      </c>
      <c r="BU202" s="108">
        <f t="shared" si="971"/>
        <v>-4.76</v>
      </c>
      <c r="BV202" s="108">
        <v>0</v>
      </c>
      <c r="BW202" s="109">
        <v>228</v>
      </c>
      <c r="CA202" s="108">
        <v>798.48</v>
      </c>
      <c r="CB202" s="108">
        <v>0</v>
      </c>
      <c r="CC202">
        <v>878.33</v>
      </c>
      <c r="CD202">
        <v>0</v>
      </c>
      <c r="CE202" s="189">
        <v>73</v>
      </c>
      <c r="CF202" s="189">
        <v>0</v>
      </c>
      <c r="CG202" s="189">
        <f t="shared" si="957"/>
        <v>199.62</v>
      </c>
      <c r="CH202" s="189">
        <f t="shared" si="958"/>
        <v>0</v>
      </c>
      <c r="CI202" s="150"/>
      <c r="CJ202" s="150"/>
      <c r="CK202" s="150">
        <v>160</v>
      </c>
      <c r="CL202" s="150">
        <v>0</v>
      </c>
      <c r="CM202" s="150"/>
      <c r="CN202" s="150"/>
      <c r="CO202" s="150">
        <v>904.39</v>
      </c>
      <c r="CP202" s="150"/>
      <c r="CQ202" s="150">
        <f t="shared" si="959"/>
        <v>640</v>
      </c>
      <c r="CR202" s="150">
        <f t="shared" si="960"/>
        <v>0</v>
      </c>
      <c r="CS202" s="150">
        <f t="shared" si="961"/>
        <v>640</v>
      </c>
      <c r="CT202" s="150">
        <f t="shared" si="962"/>
        <v>0</v>
      </c>
      <c r="CU202" s="150">
        <v>1006.5</v>
      </c>
      <c r="CV202" s="150">
        <v>0</v>
      </c>
      <c r="CW202" s="150">
        <f t="shared" si="963"/>
        <v>251.63</v>
      </c>
      <c r="CX202" s="150">
        <f t="shared" si="963"/>
        <v>0</v>
      </c>
      <c r="CY202" s="150"/>
      <c r="CZ202" s="150"/>
      <c r="DA202" s="150">
        <f t="shared" si="964"/>
        <v>484.63</v>
      </c>
      <c r="DB202" s="150">
        <f t="shared" si="965"/>
        <v>0</v>
      </c>
      <c r="DC202" s="150">
        <v>484.63</v>
      </c>
      <c r="DD202" s="150">
        <v>0</v>
      </c>
      <c r="DE202" s="150">
        <f t="shared" si="966"/>
        <v>0</v>
      </c>
      <c r="DF202" s="150">
        <f t="shared" si="967"/>
        <v>0</v>
      </c>
      <c r="DG202" s="150">
        <f t="shared" si="942"/>
        <v>251.63</v>
      </c>
      <c r="DH202" s="150">
        <f t="shared" si="943"/>
        <v>0</v>
      </c>
      <c r="DI202" s="150">
        <f t="shared" si="968"/>
        <v>251.63</v>
      </c>
      <c r="DJ202" s="150">
        <f t="shared" si="972"/>
        <v>0</v>
      </c>
      <c r="DK202" s="104">
        <f t="shared" si="839"/>
        <v>270.24</v>
      </c>
      <c r="DL202" s="104">
        <f t="shared" si="840"/>
        <v>0</v>
      </c>
      <c r="DM202" s="104">
        <f t="shared" si="949"/>
        <v>270.24</v>
      </c>
      <c r="DN202" s="104">
        <f t="shared" si="950"/>
        <v>0</v>
      </c>
      <c r="DO202" s="179">
        <v>1006.5</v>
      </c>
      <c r="DQ202" s="104">
        <v>1149.8699999999999</v>
      </c>
    </row>
    <row r="203" spans="1:128" ht="18.75">
      <c r="A203" s="13">
        <v>15</v>
      </c>
      <c r="B203" s="13"/>
      <c r="C203" s="14"/>
      <c r="D203" s="15" t="s">
        <v>331</v>
      </c>
      <c r="E203" s="16"/>
      <c r="F203" s="81">
        <v>393.44</v>
      </c>
      <c r="G203" s="81">
        <v>0</v>
      </c>
      <c r="H203" s="81">
        <v>393.44</v>
      </c>
      <c r="I203" s="17">
        <v>0</v>
      </c>
      <c r="J203" s="86">
        <v>686.25</v>
      </c>
      <c r="K203" s="87">
        <v>0</v>
      </c>
      <c r="L203" s="87">
        <v>0</v>
      </c>
      <c r="M203" s="87">
        <f t="shared" si="969"/>
        <v>686.25</v>
      </c>
      <c r="N203" s="87">
        <v>0</v>
      </c>
      <c r="O203" s="87">
        <v>0</v>
      </c>
      <c r="P203" s="87">
        <v>0</v>
      </c>
      <c r="Q203" s="87">
        <f t="shared" si="970"/>
        <v>0</v>
      </c>
      <c r="R203" s="87">
        <f t="shared" si="946"/>
        <v>686.25</v>
      </c>
      <c r="S203" s="87"/>
      <c r="V203" s="17">
        <f t="shared" si="973"/>
        <v>416.38</v>
      </c>
      <c r="W203" s="17">
        <f t="shared" si="974"/>
        <v>0</v>
      </c>
      <c r="X203" s="108">
        <f t="shared" si="917"/>
        <v>269.87</v>
      </c>
      <c r="Y203" s="108">
        <f t="shared" si="918"/>
        <v>0</v>
      </c>
      <c r="Z203" s="108">
        <v>416.38</v>
      </c>
      <c r="AA203" s="108"/>
      <c r="AB203" s="108">
        <f t="shared" si="919"/>
        <v>416.38</v>
      </c>
      <c r="AC203" s="109">
        <f t="shared" si="920"/>
        <v>0</v>
      </c>
      <c r="AD203" s="108">
        <f t="shared" si="975"/>
        <v>416.38</v>
      </c>
      <c r="AE203" s="108">
        <f t="shared" si="976"/>
        <v>0</v>
      </c>
      <c r="AF203" s="108">
        <f t="shared" si="921"/>
        <v>0</v>
      </c>
      <c r="AG203" s="108">
        <f t="shared" si="922"/>
        <v>104</v>
      </c>
      <c r="AH203" s="108">
        <f t="shared" si="923"/>
        <v>0</v>
      </c>
      <c r="AI203" s="127">
        <f t="shared" si="924"/>
        <v>35</v>
      </c>
      <c r="AJ203" s="108">
        <f t="shared" si="925"/>
        <v>0</v>
      </c>
      <c r="AM203" s="108">
        <f t="shared" si="926"/>
        <v>104.1</v>
      </c>
      <c r="AN203" s="108">
        <f t="shared" si="927"/>
        <v>0</v>
      </c>
      <c r="AQ203" s="108">
        <f t="shared" si="928"/>
        <v>208.1</v>
      </c>
      <c r="AR203" s="108">
        <f t="shared" si="929"/>
        <v>0</v>
      </c>
      <c r="AU203" s="108">
        <f t="shared" si="749"/>
        <v>104.1</v>
      </c>
      <c r="AV203" s="108">
        <f t="shared" si="892"/>
        <v>0</v>
      </c>
      <c r="AY203" s="108">
        <f t="shared" si="903"/>
        <v>347.2</v>
      </c>
      <c r="AZ203" s="108">
        <f t="shared" si="904"/>
        <v>0</v>
      </c>
      <c r="BA203" s="108">
        <f t="shared" si="905"/>
        <v>347.2</v>
      </c>
      <c r="BB203" s="139">
        <v>347.2</v>
      </c>
      <c r="BD203" s="139">
        <f t="shared" si="906"/>
        <v>0</v>
      </c>
      <c r="BE203" s="139">
        <f t="shared" si="907"/>
        <v>0</v>
      </c>
      <c r="BF203" s="139">
        <f t="shared" si="908"/>
        <v>69.44</v>
      </c>
      <c r="BG203" s="139">
        <f t="shared" si="909"/>
        <v>0</v>
      </c>
      <c r="BH203" s="108">
        <v>34.72</v>
      </c>
      <c r="BI203" s="108">
        <v>0</v>
      </c>
      <c r="BL203" s="108">
        <f t="shared" si="948"/>
        <v>381.91999999999996</v>
      </c>
      <c r="BM203" s="108">
        <f t="shared" si="951"/>
        <v>0</v>
      </c>
      <c r="BN203" s="108">
        <f t="shared" si="952"/>
        <v>381.91999999999996</v>
      </c>
      <c r="BO203" s="108">
        <v>347.2</v>
      </c>
      <c r="BP203" s="127"/>
      <c r="BQ203" s="108">
        <f t="shared" si="953"/>
        <v>34.71999999999997</v>
      </c>
      <c r="BR203" s="108">
        <f t="shared" si="954"/>
        <v>0</v>
      </c>
      <c r="BS203" s="108">
        <f t="shared" si="955"/>
        <v>31.56</v>
      </c>
      <c r="BT203" s="108">
        <f t="shared" si="956"/>
        <v>0</v>
      </c>
      <c r="BU203" s="108">
        <f t="shared" si="971"/>
        <v>-3.16</v>
      </c>
      <c r="BV203" s="108">
        <v>0</v>
      </c>
      <c r="BW203" s="109">
        <v>60.72</v>
      </c>
      <c r="CA203" s="108">
        <v>439.4799999999999</v>
      </c>
      <c r="CB203" s="108">
        <v>0</v>
      </c>
      <c r="CC203">
        <v>483.43</v>
      </c>
      <c r="CD203">
        <v>0</v>
      </c>
      <c r="CE203" s="189">
        <v>40</v>
      </c>
      <c r="CF203" s="189">
        <v>0</v>
      </c>
      <c r="CG203" s="189">
        <f t="shared" si="957"/>
        <v>109.87</v>
      </c>
      <c r="CH203" s="189">
        <f t="shared" si="958"/>
        <v>0</v>
      </c>
      <c r="CI203" s="150"/>
      <c r="CJ203" s="150"/>
      <c r="CK203" s="150">
        <v>102</v>
      </c>
      <c r="CL203" s="150">
        <v>0</v>
      </c>
      <c r="CM203" s="150"/>
      <c r="CN203" s="150"/>
      <c r="CO203" s="150">
        <v>571.5</v>
      </c>
      <c r="CP203" s="150"/>
      <c r="CQ203" s="150">
        <f t="shared" si="959"/>
        <v>408</v>
      </c>
      <c r="CR203" s="150">
        <f t="shared" si="960"/>
        <v>0</v>
      </c>
      <c r="CS203" s="150">
        <f t="shared" si="961"/>
        <v>408</v>
      </c>
      <c r="CT203" s="150">
        <f t="shared" si="962"/>
        <v>0</v>
      </c>
      <c r="CU203" s="150">
        <v>571.5</v>
      </c>
      <c r="CV203" s="150">
        <v>0</v>
      </c>
      <c r="CW203" s="150">
        <f t="shared" si="963"/>
        <v>142.88</v>
      </c>
      <c r="CX203" s="150">
        <f t="shared" si="963"/>
        <v>0</v>
      </c>
      <c r="CY203" s="150"/>
      <c r="CZ203" s="150"/>
      <c r="DA203" s="150">
        <f t="shared" si="964"/>
        <v>284.88</v>
      </c>
      <c r="DB203" s="150">
        <f t="shared" si="965"/>
        <v>0</v>
      </c>
      <c r="DC203" s="150">
        <v>284.88</v>
      </c>
      <c r="DD203" s="150">
        <v>0</v>
      </c>
      <c r="DE203" s="150">
        <f t="shared" si="966"/>
        <v>0</v>
      </c>
      <c r="DF203" s="150">
        <f t="shared" si="967"/>
        <v>0</v>
      </c>
      <c r="DG203" s="150">
        <f t="shared" si="942"/>
        <v>142.88</v>
      </c>
      <c r="DH203" s="150">
        <f t="shared" si="943"/>
        <v>0</v>
      </c>
      <c r="DI203" s="150">
        <f t="shared" si="968"/>
        <v>142.88</v>
      </c>
      <c r="DJ203" s="150">
        <f t="shared" si="972"/>
        <v>0</v>
      </c>
      <c r="DK203" s="104">
        <f t="shared" si="839"/>
        <v>143.74</v>
      </c>
      <c r="DL203" s="104">
        <f t="shared" si="840"/>
        <v>0</v>
      </c>
      <c r="DM203" s="104">
        <f t="shared" si="949"/>
        <v>143.74</v>
      </c>
      <c r="DN203" s="104">
        <f t="shared" si="950"/>
        <v>0</v>
      </c>
      <c r="DO203" s="104">
        <v>571.5</v>
      </c>
      <c r="DQ203" s="104">
        <v>630</v>
      </c>
    </row>
    <row r="204" spans="1:128" ht="18.75">
      <c r="A204" s="13">
        <v>16</v>
      </c>
      <c r="B204" s="13"/>
      <c r="C204" s="14"/>
      <c r="D204" s="15" t="s">
        <v>332</v>
      </c>
      <c r="E204" s="16"/>
      <c r="F204" s="81">
        <v>0</v>
      </c>
      <c r="G204" s="81">
        <v>0</v>
      </c>
      <c r="H204" s="81">
        <v>0</v>
      </c>
      <c r="I204" s="17">
        <v>0</v>
      </c>
      <c r="J204" s="86">
        <v>0</v>
      </c>
      <c r="K204" s="87">
        <v>0</v>
      </c>
      <c r="L204" s="87">
        <v>0</v>
      </c>
      <c r="M204" s="87">
        <f t="shared" si="969"/>
        <v>0</v>
      </c>
      <c r="N204" s="87">
        <v>0</v>
      </c>
      <c r="O204" s="87">
        <v>0</v>
      </c>
      <c r="P204" s="87">
        <v>0</v>
      </c>
      <c r="Q204" s="87">
        <f t="shared" si="970"/>
        <v>0</v>
      </c>
      <c r="R204" s="87">
        <f t="shared" si="946"/>
        <v>0</v>
      </c>
      <c r="S204" s="87"/>
      <c r="V204" s="17">
        <f t="shared" si="973"/>
        <v>0</v>
      </c>
      <c r="W204" s="17">
        <f t="shared" si="974"/>
        <v>0</v>
      </c>
      <c r="X204" s="108">
        <f t="shared" si="917"/>
        <v>0</v>
      </c>
      <c r="Y204" s="108">
        <f t="shared" si="918"/>
        <v>0</v>
      </c>
      <c r="Z204" s="108"/>
      <c r="AA204" s="108"/>
      <c r="AB204" s="108">
        <f t="shared" si="919"/>
        <v>0</v>
      </c>
      <c r="AC204" s="109">
        <f t="shared" si="920"/>
        <v>0</v>
      </c>
      <c r="AD204" s="108">
        <f t="shared" si="975"/>
        <v>0</v>
      </c>
      <c r="AE204" s="108">
        <f t="shared" si="976"/>
        <v>0</v>
      </c>
      <c r="AF204" s="108">
        <f t="shared" si="921"/>
        <v>0</v>
      </c>
      <c r="AG204" s="108">
        <f t="shared" si="922"/>
        <v>0</v>
      </c>
      <c r="AH204" s="108">
        <f t="shared" si="923"/>
        <v>0</v>
      </c>
      <c r="AI204" s="127">
        <f t="shared" si="924"/>
        <v>0</v>
      </c>
      <c r="AJ204" s="108">
        <f t="shared" si="925"/>
        <v>0</v>
      </c>
      <c r="AM204" s="108">
        <f t="shared" si="926"/>
        <v>0</v>
      </c>
      <c r="AN204" s="108">
        <f t="shared" si="927"/>
        <v>0</v>
      </c>
      <c r="AQ204" s="108">
        <f t="shared" si="928"/>
        <v>0</v>
      </c>
      <c r="AR204" s="108">
        <f t="shared" si="929"/>
        <v>0</v>
      </c>
      <c r="AU204" s="108">
        <f t="shared" si="749"/>
        <v>0</v>
      </c>
      <c r="AV204" s="108">
        <f t="shared" si="892"/>
        <v>0</v>
      </c>
      <c r="AY204" s="108">
        <f t="shared" si="903"/>
        <v>0</v>
      </c>
      <c r="AZ204" s="108">
        <f t="shared" si="904"/>
        <v>0</v>
      </c>
      <c r="BA204" s="108">
        <f t="shared" si="905"/>
        <v>0</v>
      </c>
      <c r="BB204" s="139">
        <v>0</v>
      </c>
      <c r="BD204" s="139">
        <f t="shared" si="906"/>
        <v>0</v>
      </c>
      <c r="BE204" s="139">
        <f t="shared" si="907"/>
        <v>0</v>
      </c>
      <c r="BF204" s="139">
        <f t="shared" si="908"/>
        <v>0</v>
      </c>
      <c r="BG204" s="139">
        <f t="shared" si="909"/>
        <v>0</v>
      </c>
      <c r="BH204" s="108">
        <v>0</v>
      </c>
      <c r="BI204" s="108">
        <v>0</v>
      </c>
      <c r="BL204" s="108">
        <f t="shared" si="948"/>
        <v>0</v>
      </c>
      <c r="BM204" s="108">
        <f t="shared" si="951"/>
        <v>0</v>
      </c>
      <c r="BN204" s="108">
        <f t="shared" si="952"/>
        <v>0</v>
      </c>
      <c r="BO204" s="108">
        <v>0</v>
      </c>
      <c r="BP204" s="127"/>
      <c r="BQ204" s="108">
        <f t="shared" si="953"/>
        <v>0</v>
      </c>
      <c r="BR204" s="108">
        <f t="shared" si="954"/>
        <v>0</v>
      </c>
      <c r="BS204" s="108">
        <f t="shared" si="955"/>
        <v>0</v>
      </c>
      <c r="BT204" s="108">
        <f t="shared" si="956"/>
        <v>0</v>
      </c>
      <c r="BU204" s="108">
        <f>ROUND(BS204-BQ204,2)</f>
        <v>0</v>
      </c>
      <c r="BV204" s="108">
        <v>0</v>
      </c>
      <c r="CA204" s="108">
        <v>0</v>
      </c>
      <c r="CB204" s="108">
        <v>0</v>
      </c>
      <c r="CC204">
        <v>0</v>
      </c>
      <c r="CD204">
        <v>0</v>
      </c>
      <c r="CE204" s="189">
        <v>0</v>
      </c>
      <c r="CF204" s="189">
        <v>0</v>
      </c>
      <c r="CG204" s="189">
        <f t="shared" si="957"/>
        <v>0</v>
      </c>
      <c r="CH204" s="189">
        <f t="shared" si="958"/>
        <v>0</v>
      </c>
      <c r="CI204" s="150"/>
      <c r="CJ204" s="150"/>
      <c r="CK204" s="150">
        <v>0</v>
      </c>
      <c r="CL204" s="150">
        <v>0</v>
      </c>
      <c r="CM204" s="150"/>
      <c r="CN204" s="150"/>
      <c r="CO204" s="150"/>
      <c r="CP204" s="150"/>
      <c r="CQ204" s="150">
        <f t="shared" si="959"/>
        <v>0</v>
      </c>
      <c r="CR204" s="150">
        <f t="shared" si="960"/>
        <v>0</v>
      </c>
      <c r="CS204" s="150">
        <f t="shared" si="961"/>
        <v>0</v>
      </c>
      <c r="CT204" s="150">
        <f t="shared" si="962"/>
        <v>0</v>
      </c>
      <c r="CU204" s="150">
        <v>0</v>
      </c>
      <c r="CV204" s="150">
        <v>0</v>
      </c>
      <c r="CW204" s="150">
        <f t="shared" si="963"/>
        <v>0</v>
      </c>
      <c r="CX204" s="150">
        <f t="shared" si="963"/>
        <v>0</v>
      </c>
      <c r="CY204" s="150"/>
      <c r="CZ204" s="150"/>
      <c r="DA204" s="150">
        <f t="shared" si="964"/>
        <v>0</v>
      </c>
      <c r="DB204" s="150">
        <f t="shared" si="965"/>
        <v>0</v>
      </c>
      <c r="DC204" s="150">
        <v>0</v>
      </c>
      <c r="DD204" s="150">
        <v>0</v>
      </c>
      <c r="DE204" s="150">
        <f t="shared" si="966"/>
        <v>0</v>
      </c>
      <c r="DF204" s="150">
        <f t="shared" si="967"/>
        <v>0</v>
      </c>
      <c r="DG204" s="150">
        <f t="shared" si="942"/>
        <v>0</v>
      </c>
      <c r="DH204" s="150">
        <f t="shared" si="943"/>
        <v>0</v>
      </c>
      <c r="DI204" s="150">
        <f t="shared" si="968"/>
        <v>0</v>
      </c>
      <c r="DJ204" s="150">
        <f t="shared" si="972"/>
        <v>0</v>
      </c>
      <c r="DK204" s="104">
        <f t="shared" si="839"/>
        <v>0</v>
      </c>
      <c r="DL204" s="104">
        <f t="shared" si="840"/>
        <v>0</v>
      </c>
      <c r="DM204" s="104">
        <f t="shared" si="949"/>
        <v>0</v>
      </c>
      <c r="DN204" s="104">
        <f t="shared" si="950"/>
        <v>0</v>
      </c>
    </row>
    <row r="205" spans="1:128" ht="18.75">
      <c r="A205" s="18"/>
      <c r="B205" s="18" t="s">
        <v>333</v>
      </c>
      <c r="C205" s="19" t="s">
        <v>94</v>
      </c>
      <c r="D205" s="20" t="s">
        <v>327</v>
      </c>
      <c r="E205" s="21" t="s">
        <v>334</v>
      </c>
      <c r="F205" s="22">
        <v>3362.45</v>
      </c>
      <c r="G205" s="22">
        <v>63.18</v>
      </c>
      <c r="H205" s="22">
        <v>3362.45</v>
      </c>
      <c r="I205" s="22">
        <v>79.47</v>
      </c>
      <c r="J205" s="88">
        <f t="shared" ref="J205:AA205" si="977">+J199+J200+J201+J202+J203+J204</f>
        <v>4492.1900000000005</v>
      </c>
      <c r="K205" s="88">
        <f t="shared" si="977"/>
        <v>0</v>
      </c>
      <c r="L205" s="88">
        <f t="shared" si="977"/>
        <v>0</v>
      </c>
      <c r="M205" s="88">
        <f t="shared" si="977"/>
        <v>4492.1900000000005</v>
      </c>
      <c r="N205" s="88">
        <f t="shared" si="977"/>
        <v>0</v>
      </c>
      <c r="O205" s="88">
        <f t="shared" si="977"/>
        <v>0</v>
      </c>
      <c r="P205" s="88">
        <f t="shared" si="977"/>
        <v>0</v>
      </c>
      <c r="Q205" s="88">
        <f t="shared" si="977"/>
        <v>0</v>
      </c>
      <c r="R205" s="88">
        <f t="shared" si="977"/>
        <v>4492.1900000000005</v>
      </c>
      <c r="S205" s="88">
        <f t="shared" si="977"/>
        <v>60</v>
      </c>
      <c r="T205" s="88">
        <f t="shared" si="977"/>
        <v>0</v>
      </c>
      <c r="U205" s="88">
        <f t="shared" si="977"/>
        <v>0</v>
      </c>
      <c r="V205" s="88">
        <f t="shared" si="977"/>
        <v>3558.48</v>
      </c>
      <c r="W205" s="88">
        <f t="shared" si="977"/>
        <v>82.07</v>
      </c>
      <c r="X205" s="88">
        <f t="shared" si="977"/>
        <v>933.71000000000015</v>
      </c>
      <c r="Y205" s="88">
        <f t="shared" si="977"/>
        <v>-22.069999999999993</v>
      </c>
      <c r="Z205" s="88">
        <f t="shared" si="977"/>
        <v>3558.48</v>
      </c>
      <c r="AA205" s="88">
        <f t="shared" si="977"/>
        <v>0</v>
      </c>
      <c r="AB205" s="22">
        <f t="shared" si="919"/>
        <v>3558.48</v>
      </c>
      <c r="AC205" s="109">
        <f t="shared" si="920"/>
        <v>0</v>
      </c>
      <c r="AD205" s="22">
        <f t="shared" ref="AD205:CO205" si="978">+AD199+AD200+AD201+AD202+AD203+AD204</f>
        <v>3558.48</v>
      </c>
      <c r="AE205" s="22">
        <f t="shared" si="978"/>
        <v>133</v>
      </c>
      <c r="AF205" s="22">
        <f t="shared" si="978"/>
        <v>54.13</v>
      </c>
      <c r="AG205" s="22">
        <f t="shared" si="978"/>
        <v>889</v>
      </c>
      <c r="AH205" s="22">
        <f t="shared" si="978"/>
        <v>15</v>
      </c>
      <c r="AI205" s="118">
        <f t="shared" si="978"/>
        <v>296</v>
      </c>
      <c r="AJ205" s="22">
        <f t="shared" si="978"/>
        <v>5</v>
      </c>
      <c r="AK205" s="22">
        <f t="shared" si="978"/>
        <v>0</v>
      </c>
      <c r="AL205" s="22">
        <f t="shared" si="978"/>
        <v>0</v>
      </c>
      <c r="AM205" s="22">
        <f t="shared" si="978"/>
        <v>889.63</v>
      </c>
      <c r="AN205" s="22">
        <f t="shared" si="978"/>
        <v>14.61</v>
      </c>
      <c r="AO205" s="22">
        <f t="shared" si="978"/>
        <v>0</v>
      </c>
      <c r="AP205" s="22">
        <f t="shared" si="978"/>
        <v>0</v>
      </c>
      <c r="AQ205" s="22">
        <f t="shared" si="978"/>
        <v>1778.6299999999999</v>
      </c>
      <c r="AR205" s="22">
        <f t="shared" si="978"/>
        <v>29.61</v>
      </c>
      <c r="AS205" s="22">
        <f t="shared" si="978"/>
        <v>0</v>
      </c>
      <c r="AT205" s="22">
        <f t="shared" si="978"/>
        <v>73</v>
      </c>
      <c r="AU205" s="22">
        <f t="shared" si="978"/>
        <v>889.63</v>
      </c>
      <c r="AV205" s="22">
        <f t="shared" si="978"/>
        <v>25.39</v>
      </c>
      <c r="AW205" s="22">
        <f t="shared" si="978"/>
        <v>0</v>
      </c>
      <c r="AX205" s="22">
        <f t="shared" si="978"/>
        <v>9</v>
      </c>
      <c r="AY205" s="22">
        <f t="shared" si="978"/>
        <v>2964.2599999999998</v>
      </c>
      <c r="AZ205" s="22">
        <f t="shared" si="978"/>
        <v>142</v>
      </c>
      <c r="BA205" s="22">
        <f t="shared" si="978"/>
        <v>3106.2599999999998</v>
      </c>
      <c r="BB205" s="22">
        <f t="shared" si="978"/>
        <v>2964.22</v>
      </c>
      <c r="BC205" s="22">
        <f t="shared" si="978"/>
        <v>142</v>
      </c>
      <c r="BD205" s="22">
        <f t="shared" si="978"/>
        <v>4.0000000000020464E-2</v>
      </c>
      <c r="BE205" s="22">
        <f t="shared" si="978"/>
        <v>0</v>
      </c>
      <c r="BF205" s="22">
        <f t="shared" si="978"/>
        <v>592.84999999999991</v>
      </c>
      <c r="BG205" s="118">
        <f t="shared" si="978"/>
        <v>28.4</v>
      </c>
      <c r="BH205" s="118">
        <f t="shared" si="978"/>
        <v>296.40999999999997</v>
      </c>
      <c r="BI205" s="118">
        <f t="shared" si="978"/>
        <v>0</v>
      </c>
      <c r="BJ205" s="118">
        <f t="shared" si="978"/>
        <v>0</v>
      </c>
      <c r="BK205" s="118">
        <f t="shared" si="978"/>
        <v>0</v>
      </c>
      <c r="BL205" s="118">
        <f t="shared" si="978"/>
        <v>3260.67</v>
      </c>
      <c r="BM205" s="118">
        <f t="shared" si="978"/>
        <v>142</v>
      </c>
      <c r="BN205" s="118">
        <f t="shared" si="978"/>
        <v>3402.67</v>
      </c>
      <c r="BO205" s="118">
        <f t="shared" si="978"/>
        <v>3107.54</v>
      </c>
      <c r="BP205" s="118">
        <f t="shared" si="978"/>
        <v>142</v>
      </c>
      <c r="BQ205" s="22">
        <f t="shared" si="978"/>
        <v>153.12999999999994</v>
      </c>
      <c r="BR205" s="22">
        <f t="shared" si="978"/>
        <v>0</v>
      </c>
      <c r="BS205" s="22">
        <f t="shared" si="978"/>
        <v>282.5</v>
      </c>
      <c r="BT205" s="22">
        <f t="shared" si="978"/>
        <v>12.91</v>
      </c>
      <c r="BU205" s="22">
        <f t="shared" si="978"/>
        <v>129.37</v>
      </c>
      <c r="BV205" s="22">
        <f t="shared" si="978"/>
        <v>0</v>
      </c>
      <c r="BW205" s="22">
        <f t="shared" si="978"/>
        <v>325.30999999999995</v>
      </c>
      <c r="BX205" s="22">
        <f t="shared" si="978"/>
        <v>22</v>
      </c>
      <c r="BY205" s="22">
        <f t="shared" si="978"/>
        <v>0</v>
      </c>
      <c r="BZ205" s="22">
        <f t="shared" si="978"/>
        <v>0</v>
      </c>
      <c r="CA205" s="22">
        <f t="shared" si="978"/>
        <v>3715.3499999999995</v>
      </c>
      <c r="CB205" s="22">
        <f t="shared" si="978"/>
        <v>164</v>
      </c>
      <c r="CC205" s="22">
        <f t="shared" si="978"/>
        <v>4086.8899999999994</v>
      </c>
      <c r="CD205" s="118">
        <f t="shared" si="978"/>
        <v>188.6</v>
      </c>
      <c r="CE205" s="190">
        <f t="shared" si="978"/>
        <v>340</v>
      </c>
      <c r="CF205" s="190">
        <f t="shared" si="978"/>
        <v>16</v>
      </c>
      <c r="CG205" s="190">
        <f t="shared" si="978"/>
        <v>928.84</v>
      </c>
      <c r="CH205" s="190">
        <f t="shared" si="978"/>
        <v>41</v>
      </c>
      <c r="CI205" s="190">
        <f t="shared" si="978"/>
        <v>0</v>
      </c>
      <c r="CJ205" s="190">
        <f t="shared" si="978"/>
        <v>0</v>
      </c>
      <c r="CK205" s="190">
        <f t="shared" si="978"/>
        <v>880</v>
      </c>
      <c r="CL205" s="190">
        <f t="shared" si="978"/>
        <v>0</v>
      </c>
      <c r="CM205" s="190">
        <f t="shared" si="978"/>
        <v>0</v>
      </c>
      <c r="CN205" s="190">
        <f t="shared" si="978"/>
        <v>0</v>
      </c>
      <c r="CO205" s="190">
        <f t="shared" si="978"/>
        <v>4225.8899999999994</v>
      </c>
      <c r="CP205" s="190">
        <f t="shared" ref="CP205:DQ205" si="979">+CP199+CP200+CP201+CP202+CP203+CP204</f>
        <v>200</v>
      </c>
      <c r="CQ205" s="190">
        <f t="shared" si="979"/>
        <v>3520</v>
      </c>
      <c r="CR205" s="190">
        <f t="shared" si="979"/>
        <v>0</v>
      </c>
      <c r="CS205" s="190">
        <f t="shared" si="979"/>
        <v>3520</v>
      </c>
      <c r="CT205" s="190">
        <f t="shared" si="979"/>
        <v>268</v>
      </c>
      <c r="CU205" s="190">
        <f t="shared" si="979"/>
        <v>4168</v>
      </c>
      <c r="CV205" s="190">
        <f t="shared" si="979"/>
        <v>268</v>
      </c>
      <c r="CW205" s="190">
        <f t="shared" si="979"/>
        <v>1042.01</v>
      </c>
      <c r="CX205" s="190">
        <f t="shared" si="979"/>
        <v>67</v>
      </c>
      <c r="CY205" s="190">
        <f t="shared" si="979"/>
        <v>0</v>
      </c>
      <c r="CZ205" s="190">
        <f t="shared" si="979"/>
        <v>0</v>
      </c>
      <c r="DA205" s="190">
        <f t="shared" si="979"/>
        <v>2262.0100000000002</v>
      </c>
      <c r="DB205" s="190">
        <f t="shared" si="979"/>
        <v>83</v>
      </c>
      <c r="DC205" s="190">
        <f t="shared" si="979"/>
        <v>2199.5500000000002</v>
      </c>
      <c r="DD205" s="190">
        <f t="shared" si="979"/>
        <v>83</v>
      </c>
      <c r="DE205" s="190">
        <f t="shared" si="979"/>
        <v>62.459999999999994</v>
      </c>
      <c r="DF205" s="190">
        <f t="shared" si="979"/>
        <v>0</v>
      </c>
      <c r="DG205" s="190">
        <f t="shared" si="979"/>
        <v>1042.01</v>
      </c>
      <c r="DH205" s="190">
        <f t="shared" si="979"/>
        <v>67</v>
      </c>
      <c r="DI205" s="190">
        <f t="shared" si="979"/>
        <v>979.55</v>
      </c>
      <c r="DJ205" s="190">
        <f t="shared" si="979"/>
        <v>67</v>
      </c>
      <c r="DK205" s="104">
        <f t="shared" si="839"/>
        <v>1096.4399999999998</v>
      </c>
      <c r="DL205" s="104">
        <f t="shared" si="840"/>
        <v>118</v>
      </c>
      <c r="DM205" s="104">
        <f t="shared" si="949"/>
        <v>926.43999999999983</v>
      </c>
      <c r="DN205" s="104">
        <f t="shared" si="950"/>
        <v>118</v>
      </c>
      <c r="DO205" s="22">
        <f t="shared" si="979"/>
        <v>4338</v>
      </c>
      <c r="DP205" s="22">
        <f t="shared" si="979"/>
        <v>268</v>
      </c>
      <c r="DQ205" s="22">
        <f t="shared" si="979"/>
        <v>4581.07</v>
      </c>
      <c r="DR205" s="22">
        <f t="shared" ref="DR205:DU205" si="980">+DR199+DR200+DR201+DR202+DR203+DR204</f>
        <v>372</v>
      </c>
      <c r="DS205" s="22">
        <f t="shared" si="980"/>
        <v>0</v>
      </c>
      <c r="DT205" s="22">
        <f t="shared" si="980"/>
        <v>0</v>
      </c>
      <c r="DU205" s="22">
        <f t="shared" si="980"/>
        <v>0</v>
      </c>
    </row>
    <row r="206" spans="1:128" ht="18.75">
      <c r="A206" s="18">
        <v>17</v>
      </c>
      <c r="B206" s="18" t="s">
        <v>335</v>
      </c>
      <c r="C206" s="19" t="s">
        <v>13</v>
      </c>
      <c r="D206" s="20" t="s">
        <v>336</v>
      </c>
      <c r="E206" s="21" t="s">
        <v>337</v>
      </c>
      <c r="F206" s="81">
        <v>3382.32</v>
      </c>
      <c r="G206" s="81">
        <v>3397.25</v>
      </c>
      <c r="H206" s="81">
        <v>3382.32</v>
      </c>
      <c r="I206" s="22">
        <v>3497.25</v>
      </c>
      <c r="J206" s="88">
        <v>4200</v>
      </c>
      <c r="K206" s="88">
        <v>0</v>
      </c>
      <c r="L206" s="88">
        <v>0</v>
      </c>
      <c r="M206" s="88">
        <f t="shared" ref="M206" si="981">+L206+K206+J206</f>
        <v>4200</v>
      </c>
      <c r="N206" s="88">
        <v>0</v>
      </c>
      <c r="O206" s="88">
        <v>0</v>
      </c>
      <c r="P206" s="88">
        <v>0</v>
      </c>
      <c r="Q206" s="88">
        <f t="shared" ref="Q206" si="982">+P206+O206+N206</f>
        <v>0</v>
      </c>
      <c r="R206" s="88">
        <f t="shared" si="946"/>
        <v>4200</v>
      </c>
      <c r="S206" s="88">
        <v>4700</v>
      </c>
      <c r="V206" s="22">
        <f t="shared" ref="V206" si="983">ROUND(H206*1.0583,2)</f>
        <v>3579.51</v>
      </c>
      <c r="W206" s="22">
        <f t="shared" ref="W206" si="984">ROUND(I206*1.0327,2)</f>
        <v>3611.61</v>
      </c>
      <c r="X206" s="22">
        <f t="shared" si="917"/>
        <v>620.48999999999978</v>
      </c>
      <c r="Y206" s="22">
        <f t="shared" si="918"/>
        <v>1088.3899999999999</v>
      </c>
      <c r="Z206" s="22">
        <v>3579.51</v>
      </c>
      <c r="AA206" s="22"/>
      <c r="AB206" s="22">
        <f t="shared" si="919"/>
        <v>3579.51</v>
      </c>
      <c r="AC206" s="109">
        <f t="shared" si="920"/>
        <v>0</v>
      </c>
      <c r="AD206" s="22">
        <f t="shared" ref="AD206:AD207" si="985">IF(X206&gt;0,V206,R206)</f>
        <v>3579.51</v>
      </c>
      <c r="AE206" s="22">
        <f t="shared" ref="AE206" si="986">IF(Y206&gt;0,W206,S206)</f>
        <v>3611.61</v>
      </c>
      <c r="AF206" s="22">
        <f t="shared" si="921"/>
        <v>4240.34</v>
      </c>
      <c r="AG206" s="108">
        <f t="shared" si="922"/>
        <v>895</v>
      </c>
      <c r="AH206" s="108">
        <f t="shared" si="923"/>
        <v>903</v>
      </c>
      <c r="AI206" s="127">
        <f t="shared" si="924"/>
        <v>298</v>
      </c>
      <c r="AJ206" s="108">
        <f t="shared" si="925"/>
        <v>301</v>
      </c>
      <c r="AM206" s="108">
        <f t="shared" si="926"/>
        <v>894.88</v>
      </c>
      <c r="AN206" s="108">
        <f t="shared" si="927"/>
        <v>879.43</v>
      </c>
      <c r="AQ206" s="108">
        <f t="shared" si="928"/>
        <v>1789.88</v>
      </c>
      <c r="AR206" s="108">
        <f t="shared" si="929"/>
        <v>1782.4299999999998</v>
      </c>
      <c r="AU206" s="108">
        <f t="shared" si="749"/>
        <v>894.88</v>
      </c>
      <c r="AV206" s="108">
        <f>ROUND(AE206*25%,2)</f>
        <v>902.9</v>
      </c>
      <c r="AX206" s="143">
        <v>646.70000000000005</v>
      </c>
      <c r="AY206" s="108">
        <f t="shared" si="903"/>
        <v>2982.76</v>
      </c>
      <c r="AZ206" s="108">
        <f t="shared" si="904"/>
        <v>3633.0299999999997</v>
      </c>
      <c r="BA206" s="108">
        <f t="shared" si="905"/>
        <v>6615.79</v>
      </c>
      <c r="BB206" s="139">
        <v>2812.07</v>
      </c>
      <c r="BC206" s="139">
        <v>3596.84</v>
      </c>
      <c r="BD206" s="139">
        <f t="shared" si="906"/>
        <v>170.69000000000005</v>
      </c>
      <c r="BE206" s="139">
        <f t="shared" si="907"/>
        <v>36.1899999999996</v>
      </c>
      <c r="BF206" s="139">
        <f t="shared" si="908"/>
        <v>562.41</v>
      </c>
      <c r="BG206" s="139">
        <f t="shared" si="909"/>
        <v>719.37</v>
      </c>
      <c r="BH206" s="108">
        <v>195.86</v>
      </c>
      <c r="BI206" s="109">
        <v>315.08999999999997</v>
      </c>
      <c r="BJ206" s="109"/>
      <c r="BK206" s="109"/>
      <c r="BL206" s="108">
        <f t="shared" si="948"/>
        <v>3178.6200000000003</v>
      </c>
      <c r="BM206" s="108">
        <f t="shared" si="951"/>
        <v>3948.12</v>
      </c>
      <c r="BN206" s="108">
        <f t="shared" si="952"/>
        <v>7126.74</v>
      </c>
      <c r="BO206" s="108">
        <v>3128.79</v>
      </c>
      <c r="BP206" s="127">
        <v>3972.03</v>
      </c>
      <c r="BQ206" s="108">
        <f t="shared" si="953"/>
        <v>49.830000000000382</v>
      </c>
      <c r="BR206" s="108">
        <f t="shared" si="954"/>
        <v>-23.910000000000309</v>
      </c>
      <c r="BS206" s="108">
        <f t="shared" si="955"/>
        <v>284.44</v>
      </c>
      <c r="BT206" s="108">
        <f t="shared" si="956"/>
        <v>361.09</v>
      </c>
      <c r="BU206" s="108">
        <f t="shared" ref="BU206:BU259" si="987">BS206-BQ206</f>
        <v>234.60999999999962</v>
      </c>
      <c r="BV206" s="116">
        <v>185</v>
      </c>
      <c r="BW206" s="116"/>
      <c r="BX206" s="116"/>
      <c r="BY206" s="116"/>
      <c r="BZ206" s="116"/>
      <c r="CA206" s="108">
        <v>3413.23</v>
      </c>
      <c r="CB206" s="108">
        <v>4133.12</v>
      </c>
      <c r="CC206">
        <v>3754.55</v>
      </c>
      <c r="CD206">
        <v>4753.09</v>
      </c>
      <c r="CE206" s="189">
        <v>313</v>
      </c>
      <c r="CF206" s="189">
        <v>396</v>
      </c>
      <c r="CG206" s="189">
        <f t="shared" si="957"/>
        <v>853.31</v>
      </c>
      <c r="CH206" s="189">
        <f t="shared" si="958"/>
        <v>1033.28</v>
      </c>
      <c r="CI206" s="150"/>
      <c r="CJ206" s="150"/>
      <c r="CK206" s="150">
        <v>870</v>
      </c>
      <c r="CL206" s="150">
        <f>1100-100</f>
        <v>1000</v>
      </c>
      <c r="CM206" s="150"/>
      <c r="CN206" s="150"/>
      <c r="CO206" s="150">
        <v>3800</v>
      </c>
      <c r="CP206" s="150">
        <v>4800</v>
      </c>
      <c r="CQ206" s="150">
        <f t="shared" si="959"/>
        <v>3480</v>
      </c>
      <c r="CR206" s="150">
        <f t="shared" si="960"/>
        <v>4000</v>
      </c>
      <c r="CS206" s="150">
        <f t="shared" si="961"/>
        <v>3480</v>
      </c>
      <c r="CT206" s="150">
        <f t="shared" si="962"/>
        <v>4000</v>
      </c>
      <c r="CU206" s="150">
        <f t="shared" ref="CU206:CU208" si="988">IF(CQ206&lt;CS206,CQ206,CS206)</f>
        <v>3480</v>
      </c>
      <c r="CV206" s="150">
        <f t="shared" ref="CV206" si="989">IF(CR206&lt;CT206,CR206,CT206)</f>
        <v>4000</v>
      </c>
      <c r="CW206" s="150">
        <f t="shared" si="963"/>
        <v>870</v>
      </c>
      <c r="CX206" s="150">
        <f t="shared" si="963"/>
        <v>1000</v>
      </c>
      <c r="CY206" s="150">
        <v>25</v>
      </c>
      <c r="CZ206" s="150">
        <v>300</v>
      </c>
      <c r="DA206" s="150">
        <f t="shared" si="964"/>
        <v>2078</v>
      </c>
      <c r="DB206" s="150">
        <f t="shared" si="965"/>
        <v>2696</v>
      </c>
      <c r="DC206" s="150">
        <v>2074.0700000000002</v>
      </c>
      <c r="DD206" s="150">
        <v>2724.24</v>
      </c>
      <c r="DE206" s="150">
        <f t="shared" si="966"/>
        <v>3.9299999999998363</v>
      </c>
      <c r="DF206" s="150">
        <f t="shared" si="967"/>
        <v>-28.239999999999782</v>
      </c>
      <c r="DG206" s="150">
        <f t="shared" ref="DG206:DH208" si="990">ROUND(0.25*(MIN(CU206,DO206)),2)</f>
        <v>870</v>
      </c>
      <c r="DH206" s="150">
        <f t="shared" si="990"/>
        <v>1000</v>
      </c>
      <c r="DI206" s="150">
        <f>+DG206-DE206</f>
        <v>866.07000000000016</v>
      </c>
      <c r="DJ206" s="150">
        <f>+DH206-DF206</f>
        <v>1028.2399999999998</v>
      </c>
      <c r="DK206" s="104">
        <f t="shared" si="839"/>
        <v>735.92999999999984</v>
      </c>
      <c r="DL206" s="104">
        <f t="shared" si="840"/>
        <v>1075.7600000000002</v>
      </c>
      <c r="DM206" s="104">
        <f t="shared" si="949"/>
        <v>535.92999999999984</v>
      </c>
      <c r="DN206" s="104">
        <f t="shared" si="950"/>
        <v>275.76000000000022</v>
      </c>
      <c r="DO206" s="104">
        <v>3680</v>
      </c>
      <c r="DP206" s="104">
        <v>4800</v>
      </c>
      <c r="DQ206" s="104">
        <v>4000</v>
      </c>
      <c r="DR206" s="104">
        <v>5400</v>
      </c>
    </row>
    <row r="207" spans="1:128" s="126" customFormat="1" ht="18.75">
      <c r="A207" s="121">
        <v>18</v>
      </c>
      <c r="B207" s="121"/>
      <c r="C207" s="122"/>
      <c r="D207" s="120" t="s">
        <v>338</v>
      </c>
      <c r="E207" s="41"/>
      <c r="F207" s="81">
        <v>800.89</v>
      </c>
      <c r="G207" s="81">
        <v>77.91</v>
      </c>
      <c r="H207" s="81">
        <v>769.89</v>
      </c>
      <c r="I207" s="123">
        <v>47.91</v>
      </c>
      <c r="J207" s="124">
        <v>795</v>
      </c>
      <c r="K207" s="125">
        <v>0</v>
      </c>
      <c r="L207" s="125">
        <v>0</v>
      </c>
      <c r="M207" s="125">
        <f t="shared" ref="M207:M212" si="991">J207+K207+L207</f>
        <v>795</v>
      </c>
      <c r="N207" s="125">
        <v>0</v>
      </c>
      <c r="O207" s="125">
        <v>0</v>
      </c>
      <c r="P207" s="125">
        <v>0</v>
      </c>
      <c r="Q207" s="125">
        <f t="shared" ref="Q207:Q208" si="992">N207+O207+P207</f>
        <v>0</v>
      </c>
      <c r="R207" s="125">
        <f t="shared" si="946"/>
        <v>795</v>
      </c>
      <c r="S207" s="125">
        <v>170</v>
      </c>
      <c r="V207" s="123">
        <f t="shared" ref="V207" si="993">ROUND(H207*1.0583,2)</f>
        <v>814.77</v>
      </c>
      <c r="W207" s="123">
        <f t="shared" ref="W207" si="994">ROUND(I207*1.0327,2)</f>
        <v>49.48</v>
      </c>
      <c r="X207" s="109">
        <f t="shared" si="917"/>
        <v>-19.769999999999982</v>
      </c>
      <c r="Y207" s="109">
        <f t="shared" si="918"/>
        <v>120.52000000000001</v>
      </c>
      <c r="Z207" s="109">
        <v>795</v>
      </c>
      <c r="AA207" s="109"/>
      <c r="AB207" s="109">
        <f t="shared" si="919"/>
        <v>795</v>
      </c>
      <c r="AC207" s="109">
        <f t="shared" si="920"/>
        <v>0</v>
      </c>
      <c r="AD207" s="109">
        <f t="shared" si="985"/>
        <v>795</v>
      </c>
      <c r="AE207" s="109">
        <v>300</v>
      </c>
      <c r="AF207" s="109">
        <f t="shared" si="921"/>
        <v>153.37</v>
      </c>
      <c r="AG207" s="109">
        <f t="shared" si="922"/>
        <v>199</v>
      </c>
      <c r="AH207" s="109">
        <v>12</v>
      </c>
      <c r="AI207" s="131">
        <f t="shared" si="924"/>
        <v>66</v>
      </c>
      <c r="AJ207" s="109">
        <v>4</v>
      </c>
      <c r="AK207" s="109"/>
      <c r="AL207" s="109"/>
      <c r="AM207" s="109">
        <f t="shared" si="926"/>
        <v>198.75</v>
      </c>
      <c r="AN207" s="109">
        <f>ROUND(AE207*24.35%,2)+0.95</f>
        <v>74</v>
      </c>
      <c r="AO207" s="109"/>
      <c r="AP207" s="109"/>
      <c r="AQ207" s="108">
        <f t="shared" si="928"/>
        <v>397.75</v>
      </c>
      <c r="AR207" s="108">
        <f t="shared" si="929"/>
        <v>86</v>
      </c>
      <c r="AS207" s="108"/>
      <c r="AT207" s="108"/>
      <c r="AU207" s="108">
        <f t="shared" si="749"/>
        <v>198.75</v>
      </c>
      <c r="AV207" s="108">
        <f t="shared" ref="AV207:AV237" si="995">ROUND(AE207*25%,2)</f>
        <v>75</v>
      </c>
      <c r="AW207" s="108"/>
      <c r="AX207" s="108"/>
      <c r="AY207" s="108">
        <f t="shared" si="903"/>
        <v>662.5</v>
      </c>
      <c r="AZ207" s="108">
        <f t="shared" si="904"/>
        <v>165</v>
      </c>
      <c r="BA207" s="108">
        <f t="shared" si="905"/>
        <v>827.5</v>
      </c>
      <c r="BB207" s="139">
        <v>610.80999999999995</v>
      </c>
      <c r="BC207" s="139">
        <v>161.41999999999999</v>
      </c>
      <c r="BD207" s="139">
        <f t="shared" si="906"/>
        <v>51.690000000000055</v>
      </c>
      <c r="BE207" s="139">
        <f t="shared" si="907"/>
        <v>3.5800000000000125</v>
      </c>
      <c r="BF207" s="139">
        <f t="shared" si="908"/>
        <v>122.16</v>
      </c>
      <c r="BG207" s="139">
        <f t="shared" si="909"/>
        <v>32.28</v>
      </c>
      <c r="BH207" s="108">
        <v>35.24</v>
      </c>
      <c r="BI207" s="108">
        <v>14.35</v>
      </c>
      <c r="BJ207" s="108"/>
      <c r="BK207" s="108"/>
      <c r="BL207" s="108">
        <f t="shared" si="948"/>
        <v>697.74</v>
      </c>
      <c r="BM207" s="108">
        <f t="shared" si="951"/>
        <v>179.35</v>
      </c>
      <c r="BN207" s="108">
        <f t="shared" si="952"/>
        <v>877.09</v>
      </c>
      <c r="BO207" s="108">
        <v>682.41</v>
      </c>
      <c r="BP207" s="127">
        <v>179.62</v>
      </c>
      <c r="BQ207" s="108">
        <f t="shared" si="953"/>
        <v>15.330000000000041</v>
      </c>
      <c r="BR207" s="108">
        <f t="shared" si="954"/>
        <v>-0.27000000000001023</v>
      </c>
      <c r="BS207" s="108">
        <f t="shared" si="955"/>
        <v>62.04</v>
      </c>
      <c r="BT207" s="108">
        <f t="shared" si="956"/>
        <v>16.329999999999998</v>
      </c>
      <c r="BU207" s="143">
        <v>52.26</v>
      </c>
      <c r="BV207" s="143">
        <v>85.65</v>
      </c>
      <c r="BW207" s="143"/>
      <c r="BX207" s="143"/>
      <c r="BY207" s="143"/>
      <c r="BZ207" s="143"/>
      <c r="CA207" s="108">
        <v>750</v>
      </c>
      <c r="CB207" s="108">
        <v>265</v>
      </c>
      <c r="CC207">
        <v>825</v>
      </c>
      <c r="CD207">
        <v>304.75</v>
      </c>
      <c r="CE207" s="189">
        <v>69</v>
      </c>
      <c r="CF207" s="189">
        <v>25</v>
      </c>
      <c r="CG207" s="189">
        <f t="shared" si="957"/>
        <v>187.5</v>
      </c>
      <c r="CH207" s="189">
        <f t="shared" si="958"/>
        <v>66.25</v>
      </c>
      <c r="CI207" s="150"/>
      <c r="CJ207" s="150"/>
      <c r="CK207" s="150">
        <v>200</v>
      </c>
      <c r="CL207" s="150">
        <v>0</v>
      </c>
      <c r="CM207" s="150"/>
      <c r="CN207" s="150">
        <v>150</v>
      </c>
      <c r="CO207" s="150">
        <v>800</v>
      </c>
      <c r="CP207" s="150">
        <f>150+25</f>
        <v>175</v>
      </c>
      <c r="CQ207" s="150">
        <f t="shared" si="959"/>
        <v>800</v>
      </c>
      <c r="CR207" s="150">
        <f>ROUND(CL207/3*12,2)+175</f>
        <v>175</v>
      </c>
      <c r="CS207" s="150">
        <f t="shared" si="961"/>
        <v>800</v>
      </c>
      <c r="CT207" s="150">
        <f>IF(CP207&lt;CR207,CP207,CR207)+25</f>
        <v>200</v>
      </c>
      <c r="CU207" s="150">
        <f t="shared" si="988"/>
        <v>800</v>
      </c>
      <c r="CV207" s="150">
        <f>IF(CR207&lt;CT207,CR207,CT207)+25</f>
        <v>200</v>
      </c>
      <c r="CW207" s="150">
        <f t="shared" si="963"/>
        <v>200</v>
      </c>
      <c r="CX207" s="150">
        <f>ROUND(CV207*25%,2)-25</f>
        <v>25</v>
      </c>
      <c r="CY207" s="150"/>
      <c r="CZ207" s="150"/>
      <c r="DA207" s="150">
        <f t="shared" si="964"/>
        <v>469</v>
      </c>
      <c r="DB207" s="150">
        <f t="shared" si="965"/>
        <v>200</v>
      </c>
      <c r="DC207" s="150">
        <v>435.99</v>
      </c>
      <c r="DD207" s="150">
        <v>176.94</v>
      </c>
      <c r="DE207" s="150">
        <f t="shared" si="966"/>
        <v>33.009999999999991</v>
      </c>
      <c r="DF207" s="150">
        <f t="shared" si="967"/>
        <v>23.060000000000002</v>
      </c>
      <c r="DG207" s="150">
        <f t="shared" si="990"/>
        <v>187.5</v>
      </c>
      <c r="DH207" s="150">
        <f t="shared" si="990"/>
        <v>47.5</v>
      </c>
      <c r="DI207" s="150">
        <f>+DG207-DE207</f>
        <v>154.49</v>
      </c>
      <c r="DJ207" s="150">
        <f>+DH207-DF207-24.44</f>
        <v>0</v>
      </c>
      <c r="DK207" s="104">
        <f t="shared" si="839"/>
        <v>126.50999999999999</v>
      </c>
      <c r="DL207" s="104">
        <f t="shared" si="840"/>
        <v>-10</v>
      </c>
      <c r="DM207" s="104">
        <f t="shared" si="949"/>
        <v>176.51</v>
      </c>
      <c r="DN207" s="104">
        <f t="shared" si="950"/>
        <v>0</v>
      </c>
      <c r="DO207" s="180">
        <v>750</v>
      </c>
      <c r="DP207" s="185">
        <v>190</v>
      </c>
      <c r="DQ207" s="180">
        <v>800</v>
      </c>
      <c r="DR207" s="180">
        <v>130</v>
      </c>
    </row>
    <row r="208" spans="1:128" ht="18.75">
      <c r="A208" s="13">
        <v>19</v>
      </c>
      <c r="B208" s="13"/>
      <c r="C208" s="14"/>
      <c r="D208" s="15" t="s">
        <v>339</v>
      </c>
      <c r="E208" s="16"/>
      <c r="F208" s="81">
        <v>986.71999999999991</v>
      </c>
      <c r="G208" s="81">
        <v>0</v>
      </c>
      <c r="H208" s="81">
        <v>899.99999999999989</v>
      </c>
      <c r="I208" s="17">
        <v>0</v>
      </c>
      <c r="J208" s="86">
        <v>1150</v>
      </c>
      <c r="K208" s="87">
        <v>0</v>
      </c>
      <c r="L208" s="87">
        <v>0</v>
      </c>
      <c r="M208" s="87">
        <f t="shared" si="991"/>
        <v>1150</v>
      </c>
      <c r="N208" s="87">
        <v>0</v>
      </c>
      <c r="O208" s="87">
        <v>0</v>
      </c>
      <c r="P208" s="87">
        <v>0</v>
      </c>
      <c r="Q208" s="87">
        <f t="shared" si="992"/>
        <v>0</v>
      </c>
      <c r="R208" s="87">
        <f t="shared" si="946"/>
        <v>1150</v>
      </c>
      <c r="S208" s="87"/>
      <c r="V208" s="17">
        <f t="shared" ref="V208" si="996">ROUND(H208*1.0583,2)</f>
        <v>952.47</v>
      </c>
      <c r="W208" s="17">
        <f t="shared" ref="W208" si="997">ROUND(I208*1.0327,2)</f>
        <v>0</v>
      </c>
      <c r="X208" s="108">
        <f t="shared" si="917"/>
        <v>197.52999999999997</v>
      </c>
      <c r="Y208" s="108">
        <f t="shared" si="918"/>
        <v>0</v>
      </c>
      <c r="Z208" s="108">
        <v>952.47</v>
      </c>
      <c r="AA208" s="108"/>
      <c r="AB208" s="108">
        <f t="shared" si="919"/>
        <v>952.47</v>
      </c>
      <c r="AC208" s="109">
        <f t="shared" si="920"/>
        <v>0</v>
      </c>
      <c r="AD208" s="108">
        <f t="shared" ref="AD208" si="998">IF(X208&gt;0,V208,R208)</f>
        <v>952.47</v>
      </c>
      <c r="AE208" s="108">
        <f t="shared" ref="AE208" si="999">IF(Y208&gt;0,W208,S208)</f>
        <v>0</v>
      </c>
      <c r="AF208" s="108">
        <f t="shared" si="921"/>
        <v>0</v>
      </c>
      <c r="AG208" s="108">
        <f t="shared" si="922"/>
        <v>238</v>
      </c>
      <c r="AH208" s="108">
        <f t="shared" si="923"/>
        <v>0</v>
      </c>
      <c r="AI208" s="127">
        <f t="shared" si="924"/>
        <v>79</v>
      </c>
      <c r="AJ208" s="108">
        <f t="shared" si="925"/>
        <v>0</v>
      </c>
      <c r="AM208" s="108">
        <f t="shared" si="926"/>
        <v>238.12</v>
      </c>
      <c r="AN208" s="108">
        <f t="shared" si="927"/>
        <v>0</v>
      </c>
      <c r="AQ208" s="108">
        <f t="shared" si="928"/>
        <v>476.12</v>
      </c>
      <c r="AR208" s="108">
        <f t="shared" si="929"/>
        <v>0</v>
      </c>
      <c r="AU208" s="108">
        <f t="shared" si="749"/>
        <v>238.12</v>
      </c>
      <c r="AV208" s="108">
        <f t="shared" si="995"/>
        <v>0</v>
      </c>
      <c r="AY208" s="108">
        <f t="shared" si="903"/>
        <v>793.24</v>
      </c>
      <c r="AZ208" s="108">
        <f t="shared" si="904"/>
        <v>0</v>
      </c>
      <c r="BA208" s="108">
        <f t="shared" si="905"/>
        <v>793.24</v>
      </c>
      <c r="BB208" s="139">
        <v>739</v>
      </c>
      <c r="BD208" s="139">
        <f t="shared" si="906"/>
        <v>54.240000000000009</v>
      </c>
      <c r="BE208" s="139">
        <f t="shared" si="907"/>
        <v>0</v>
      </c>
      <c r="BF208" s="139">
        <f t="shared" si="908"/>
        <v>147.80000000000001</v>
      </c>
      <c r="BG208" s="139">
        <f t="shared" si="909"/>
        <v>0</v>
      </c>
      <c r="BH208" s="108">
        <v>46.78</v>
      </c>
      <c r="BI208" s="108">
        <v>0</v>
      </c>
      <c r="BL208" s="108">
        <f t="shared" si="948"/>
        <v>840.02</v>
      </c>
      <c r="BM208" s="108">
        <f t="shared" si="951"/>
        <v>0</v>
      </c>
      <c r="BN208" s="108">
        <f t="shared" si="952"/>
        <v>840.02</v>
      </c>
      <c r="BO208" s="108">
        <v>739</v>
      </c>
      <c r="BP208" s="127"/>
      <c r="BQ208" s="108">
        <f t="shared" si="953"/>
        <v>101.01999999999998</v>
      </c>
      <c r="BR208" s="108">
        <f t="shared" si="954"/>
        <v>0</v>
      </c>
      <c r="BS208" s="108">
        <f t="shared" si="955"/>
        <v>67.180000000000007</v>
      </c>
      <c r="BT208" s="108">
        <f t="shared" si="956"/>
        <v>0</v>
      </c>
      <c r="BU208" s="108">
        <v>0</v>
      </c>
      <c r="BV208" s="108">
        <v>0</v>
      </c>
      <c r="BW208" s="108">
        <v>112</v>
      </c>
      <c r="CA208" s="108">
        <v>952.02</v>
      </c>
      <c r="CB208" s="108">
        <v>0</v>
      </c>
      <c r="CC208">
        <v>1047.22</v>
      </c>
      <c r="CD208">
        <v>0</v>
      </c>
      <c r="CE208" s="189">
        <v>87</v>
      </c>
      <c r="CF208" s="189">
        <v>0</v>
      </c>
      <c r="CG208" s="189">
        <f t="shared" si="957"/>
        <v>238.01</v>
      </c>
      <c r="CH208" s="189">
        <f t="shared" si="958"/>
        <v>0</v>
      </c>
      <c r="CI208" s="150"/>
      <c r="CJ208" s="150"/>
      <c r="CK208" s="150">
        <v>275</v>
      </c>
      <c r="CL208" s="150">
        <v>0</v>
      </c>
      <c r="CM208" s="150"/>
      <c r="CN208" s="150"/>
      <c r="CO208" s="150">
        <v>1265</v>
      </c>
      <c r="CP208" s="150"/>
      <c r="CQ208" s="150">
        <f t="shared" si="959"/>
        <v>1100</v>
      </c>
      <c r="CR208" s="150">
        <f t="shared" si="960"/>
        <v>0</v>
      </c>
      <c r="CS208" s="150">
        <f t="shared" si="961"/>
        <v>1100</v>
      </c>
      <c r="CT208" s="150">
        <f t="shared" si="962"/>
        <v>0</v>
      </c>
      <c r="CU208" s="150">
        <f t="shared" si="988"/>
        <v>1100</v>
      </c>
      <c r="CV208" s="150">
        <f t="shared" ref="CV208" si="1000">IF(CR208&lt;CT208,CR208,CT208)</f>
        <v>0</v>
      </c>
      <c r="CW208" s="150">
        <f t="shared" si="963"/>
        <v>275</v>
      </c>
      <c r="CX208" s="150">
        <f t="shared" si="963"/>
        <v>0</v>
      </c>
      <c r="CY208" s="150"/>
      <c r="CZ208" s="150"/>
      <c r="DA208" s="150">
        <f t="shared" si="964"/>
        <v>637</v>
      </c>
      <c r="DB208" s="150">
        <f t="shared" si="965"/>
        <v>0</v>
      </c>
      <c r="DC208" s="150">
        <v>460</v>
      </c>
      <c r="DD208" s="150">
        <v>0</v>
      </c>
      <c r="DE208" s="150">
        <f t="shared" si="966"/>
        <v>177</v>
      </c>
      <c r="DF208" s="150">
        <f t="shared" si="967"/>
        <v>0</v>
      </c>
      <c r="DG208" s="150">
        <f t="shared" si="990"/>
        <v>250</v>
      </c>
      <c r="DH208" s="150">
        <f t="shared" si="990"/>
        <v>0</v>
      </c>
      <c r="DI208" s="150">
        <f>+DG208-DE208</f>
        <v>73</v>
      </c>
      <c r="DJ208" s="150">
        <f>+DH208-DF208</f>
        <v>0</v>
      </c>
      <c r="DK208" s="104">
        <f t="shared" si="839"/>
        <v>290</v>
      </c>
      <c r="DL208" s="104">
        <f t="shared" si="840"/>
        <v>0</v>
      </c>
      <c r="DM208" s="104">
        <f t="shared" si="949"/>
        <v>390</v>
      </c>
      <c r="DN208" s="104">
        <f t="shared" si="950"/>
        <v>0</v>
      </c>
      <c r="DO208" s="104">
        <v>1000</v>
      </c>
      <c r="DQ208" s="104">
        <v>1150</v>
      </c>
    </row>
    <row r="209" spans="1:129" ht="18.75">
      <c r="A209" s="18"/>
      <c r="B209" s="18" t="s">
        <v>340</v>
      </c>
      <c r="C209" s="19" t="s">
        <v>45</v>
      </c>
      <c r="D209" s="20" t="s">
        <v>338</v>
      </c>
      <c r="E209" s="21" t="s">
        <v>341</v>
      </c>
      <c r="F209" s="22">
        <v>1787.61</v>
      </c>
      <c r="G209" s="22">
        <v>77.91</v>
      </c>
      <c r="H209" s="22">
        <v>1669.8899999999999</v>
      </c>
      <c r="I209" s="22">
        <v>47.91</v>
      </c>
      <c r="J209" s="88">
        <f t="shared" ref="J209:AA209" si="1001">+J207+J208</f>
        <v>1945</v>
      </c>
      <c r="K209" s="88">
        <f t="shared" si="1001"/>
        <v>0</v>
      </c>
      <c r="L209" s="88">
        <f t="shared" si="1001"/>
        <v>0</v>
      </c>
      <c r="M209" s="88">
        <f t="shared" si="1001"/>
        <v>1945</v>
      </c>
      <c r="N209" s="88">
        <f t="shared" si="1001"/>
        <v>0</v>
      </c>
      <c r="O209" s="88">
        <f t="shared" si="1001"/>
        <v>0</v>
      </c>
      <c r="P209" s="88">
        <f t="shared" si="1001"/>
        <v>0</v>
      </c>
      <c r="Q209" s="88">
        <f t="shared" si="1001"/>
        <v>0</v>
      </c>
      <c r="R209" s="88">
        <f t="shared" si="1001"/>
        <v>1945</v>
      </c>
      <c r="S209" s="88">
        <f t="shared" si="1001"/>
        <v>170</v>
      </c>
      <c r="T209" s="88">
        <f t="shared" si="1001"/>
        <v>0</v>
      </c>
      <c r="U209" s="88">
        <f t="shared" si="1001"/>
        <v>0</v>
      </c>
      <c r="V209" s="88">
        <f t="shared" si="1001"/>
        <v>1767.24</v>
      </c>
      <c r="W209" s="88">
        <f t="shared" si="1001"/>
        <v>49.48</v>
      </c>
      <c r="X209" s="88">
        <f t="shared" si="1001"/>
        <v>177.76</v>
      </c>
      <c r="Y209" s="88">
        <f t="shared" si="1001"/>
        <v>120.52000000000001</v>
      </c>
      <c r="Z209" s="88">
        <f t="shared" si="1001"/>
        <v>1747.47</v>
      </c>
      <c r="AA209" s="88">
        <f t="shared" si="1001"/>
        <v>0</v>
      </c>
      <c r="AB209" s="22">
        <f t="shared" si="919"/>
        <v>1747.47</v>
      </c>
      <c r="AC209" s="109">
        <f t="shared" si="920"/>
        <v>0</v>
      </c>
      <c r="AD209" s="22">
        <f t="shared" ref="AD209:CO209" si="1002">+AD207+AD208</f>
        <v>1747.47</v>
      </c>
      <c r="AE209" s="22">
        <f t="shared" si="1002"/>
        <v>300</v>
      </c>
      <c r="AF209" s="22">
        <f t="shared" si="1002"/>
        <v>153.37</v>
      </c>
      <c r="AG209" s="22">
        <f t="shared" si="1002"/>
        <v>437</v>
      </c>
      <c r="AH209" s="22">
        <f t="shared" si="1002"/>
        <v>12</v>
      </c>
      <c r="AI209" s="118">
        <f t="shared" si="1002"/>
        <v>145</v>
      </c>
      <c r="AJ209" s="22">
        <f t="shared" si="1002"/>
        <v>4</v>
      </c>
      <c r="AK209" s="22">
        <f t="shared" si="1002"/>
        <v>0</v>
      </c>
      <c r="AL209" s="22">
        <f t="shared" si="1002"/>
        <v>0</v>
      </c>
      <c r="AM209" s="22">
        <f t="shared" si="1002"/>
        <v>436.87</v>
      </c>
      <c r="AN209" s="22">
        <f t="shared" si="1002"/>
        <v>74</v>
      </c>
      <c r="AO209" s="22">
        <f t="shared" si="1002"/>
        <v>0</v>
      </c>
      <c r="AP209" s="22">
        <f t="shared" si="1002"/>
        <v>0</v>
      </c>
      <c r="AQ209" s="22">
        <f t="shared" si="1002"/>
        <v>873.87</v>
      </c>
      <c r="AR209" s="22">
        <f t="shared" si="1002"/>
        <v>86</v>
      </c>
      <c r="AS209" s="22">
        <f t="shared" si="1002"/>
        <v>0</v>
      </c>
      <c r="AT209" s="22">
        <f t="shared" si="1002"/>
        <v>0</v>
      </c>
      <c r="AU209" s="22">
        <f t="shared" si="1002"/>
        <v>436.87</v>
      </c>
      <c r="AV209" s="22">
        <f t="shared" si="1002"/>
        <v>75</v>
      </c>
      <c r="AW209" s="22">
        <f t="shared" si="1002"/>
        <v>0</v>
      </c>
      <c r="AX209" s="22">
        <f t="shared" si="1002"/>
        <v>0</v>
      </c>
      <c r="AY209" s="22">
        <f t="shared" si="1002"/>
        <v>1455.74</v>
      </c>
      <c r="AZ209" s="22">
        <f t="shared" si="1002"/>
        <v>165</v>
      </c>
      <c r="BA209" s="22">
        <f t="shared" si="1002"/>
        <v>1620.74</v>
      </c>
      <c r="BB209" s="22">
        <f t="shared" si="1002"/>
        <v>1349.81</v>
      </c>
      <c r="BC209" s="22">
        <f t="shared" si="1002"/>
        <v>161.41999999999999</v>
      </c>
      <c r="BD209" s="22">
        <f t="shared" si="1002"/>
        <v>105.93000000000006</v>
      </c>
      <c r="BE209" s="22">
        <f t="shared" si="1002"/>
        <v>3.5800000000000125</v>
      </c>
      <c r="BF209" s="22">
        <f t="shared" si="1002"/>
        <v>269.96000000000004</v>
      </c>
      <c r="BG209" s="118">
        <f t="shared" si="1002"/>
        <v>32.28</v>
      </c>
      <c r="BH209" s="118">
        <f t="shared" si="1002"/>
        <v>82.02000000000001</v>
      </c>
      <c r="BI209" s="118">
        <f t="shared" si="1002"/>
        <v>14.35</v>
      </c>
      <c r="BJ209" s="118">
        <f t="shared" si="1002"/>
        <v>0</v>
      </c>
      <c r="BK209" s="118">
        <f t="shared" si="1002"/>
        <v>0</v>
      </c>
      <c r="BL209" s="118">
        <f t="shared" si="1002"/>
        <v>1537.76</v>
      </c>
      <c r="BM209" s="118">
        <f t="shared" si="1002"/>
        <v>179.35</v>
      </c>
      <c r="BN209" s="118">
        <f t="shared" si="1002"/>
        <v>1717.1100000000001</v>
      </c>
      <c r="BO209" s="118">
        <f t="shared" si="1002"/>
        <v>1421.4099999999999</v>
      </c>
      <c r="BP209" s="118">
        <f t="shared" si="1002"/>
        <v>179.62</v>
      </c>
      <c r="BQ209" s="22">
        <f t="shared" si="1002"/>
        <v>116.35000000000002</v>
      </c>
      <c r="BR209" s="22">
        <f t="shared" si="1002"/>
        <v>-0.27000000000001023</v>
      </c>
      <c r="BS209" s="22">
        <f t="shared" si="1002"/>
        <v>129.22</v>
      </c>
      <c r="BT209" s="22">
        <f t="shared" si="1002"/>
        <v>16.329999999999998</v>
      </c>
      <c r="BU209" s="22">
        <f t="shared" si="1002"/>
        <v>52.26</v>
      </c>
      <c r="BV209" s="22">
        <f t="shared" si="1002"/>
        <v>85.65</v>
      </c>
      <c r="BW209" s="22">
        <f t="shared" si="1002"/>
        <v>112</v>
      </c>
      <c r="BX209" s="22">
        <f t="shared" si="1002"/>
        <v>0</v>
      </c>
      <c r="BY209" s="22">
        <f t="shared" si="1002"/>
        <v>0</v>
      </c>
      <c r="BZ209" s="22">
        <f t="shared" si="1002"/>
        <v>0</v>
      </c>
      <c r="CA209" s="22">
        <f t="shared" si="1002"/>
        <v>1702.02</v>
      </c>
      <c r="CB209" s="22">
        <f t="shared" si="1002"/>
        <v>265</v>
      </c>
      <c r="CC209" s="22">
        <f t="shared" si="1002"/>
        <v>1872.22</v>
      </c>
      <c r="CD209" s="118">
        <f t="shared" si="1002"/>
        <v>304.75</v>
      </c>
      <c r="CE209" s="190">
        <f t="shared" si="1002"/>
        <v>156</v>
      </c>
      <c r="CF209" s="190">
        <f t="shared" si="1002"/>
        <v>25</v>
      </c>
      <c r="CG209" s="190">
        <f t="shared" si="1002"/>
        <v>425.51</v>
      </c>
      <c r="CH209" s="190">
        <f t="shared" si="1002"/>
        <v>66.25</v>
      </c>
      <c r="CI209" s="190">
        <f t="shared" si="1002"/>
        <v>0</v>
      </c>
      <c r="CJ209" s="190">
        <f t="shared" si="1002"/>
        <v>0</v>
      </c>
      <c r="CK209" s="190">
        <f t="shared" si="1002"/>
        <v>475</v>
      </c>
      <c r="CL209" s="190">
        <f t="shared" si="1002"/>
        <v>0</v>
      </c>
      <c r="CM209" s="190">
        <f t="shared" si="1002"/>
        <v>0</v>
      </c>
      <c r="CN209" s="190">
        <f t="shared" si="1002"/>
        <v>150</v>
      </c>
      <c r="CO209" s="190">
        <f t="shared" si="1002"/>
        <v>2065</v>
      </c>
      <c r="CP209" s="190">
        <f t="shared" ref="CP209:DR209" si="1003">+CP207+CP208</f>
        <v>175</v>
      </c>
      <c r="CQ209" s="190">
        <f t="shared" si="1003"/>
        <v>1900</v>
      </c>
      <c r="CR209" s="190">
        <f t="shared" si="1003"/>
        <v>175</v>
      </c>
      <c r="CS209" s="190">
        <f t="shared" si="1003"/>
        <v>1900</v>
      </c>
      <c r="CT209" s="190">
        <f t="shared" si="1003"/>
        <v>200</v>
      </c>
      <c r="CU209" s="190">
        <f t="shared" si="1003"/>
        <v>1900</v>
      </c>
      <c r="CV209" s="190">
        <f t="shared" si="1003"/>
        <v>200</v>
      </c>
      <c r="CW209" s="190">
        <f t="shared" si="1003"/>
        <v>475</v>
      </c>
      <c r="CX209" s="190">
        <f t="shared" si="1003"/>
        <v>25</v>
      </c>
      <c r="CY209" s="190">
        <f t="shared" si="1003"/>
        <v>0</v>
      </c>
      <c r="CZ209" s="190">
        <f t="shared" si="1003"/>
        <v>0</v>
      </c>
      <c r="DA209" s="190">
        <f t="shared" si="1003"/>
        <v>1106</v>
      </c>
      <c r="DB209" s="190">
        <f t="shared" si="1003"/>
        <v>200</v>
      </c>
      <c r="DC209" s="190">
        <f t="shared" si="1003"/>
        <v>895.99</v>
      </c>
      <c r="DD209" s="190">
        <f t="shared" si="1003"/>
        <v>176.94</v>
      </c>
      <c r="DE209" s="190">
        <f t="shared" si="1003"/>
        <v>210.01</v>
      </c>
      <c r="DF209" s="190">
        <f t="shared" si="1003"/>
        <v>23.060000000000002</v>
      </c>
      <c r="DG209" s="190">
        <f t="shared" si="1003"/>
        <v>437.5</v>
      </c>
      <c r="DH209" s="190">
        <f t="shared" si="1003"/>
        <v>47.5</v>
      </c>
      <c r="DI209" s="190">
        <f t="shared" si="1003"/>
        <v>227.49</v>
      </c>
      <c r="DJ209" s="190">
        <f t="shared" si="1003"/>
        <v>0</v>
      </c>
      <c r="DK209" s="104">
        <f t="shared" si="839"/>
        <v>416.51</v>
      </c>
      <c r="DL209" s="104">
        <f t="shared" si="840"/>
        <v>-10</v>
      </c>
      <c r="DM209" s="104">
        <f t="shared" si="949"/>
        <v>566.51</v>
      </c>
      <c r="DN209" s="104">
        <f t="shared" si="950"/>
        <v>0</v>
      </c>
      <c r="DO209" s="22">
        <f t="shared" si="1003"/>
        <v>1750</v>
      </c>
      <c r="DP209" s="22">
        <f t="shared" si="1003"/>
        <v>190</v>
      </c>
      <c r="DQ209" s="22">
        <f t="shared" si="1003"/>
        <v>1950</v>
      </c>
      <c r="DR209" s="22">
        <f t="shared" si="1003"/>
        <v>130</v>
      </c>
      <c r="DS209" s="22">
        <f t="shared" ref="DS209:DW209" si="1004">+DS207+DS208</f>
        <v>0</v>
      </c>
      <c r="DT209" s="22">
        <f t="shared" si="1004"/>
        <v>0</v>
      </c>
      <c r="DU209" s="22">
        <f t="shared" si="1004"/>
        <v>0</v>
      </c>
      <c r="DV209" s="22">
        <f t="shared" si="1004"/>
        <v>0</v>
      </c>
      <c r="DW209" s="22">
        <f t="shared" si="1004"/>
        <v>0</v>
      </c>
    </row>
    <row r="210" spans="1:129" ht="18.75">
      <c r="A210" s="13">
        <v>20</v>
      </c>
      <c r="B210" s="13"/>
      <c r="C210" s="14"/>
      <c r="D210" s="15" t="s">
        <v>342</v>
      </c>
      <c r="E210" s="16"/>
      <c r="F210" s="81">
        <v>994</v>
      </c>
      <c r="G210" s="81">
        <v>33.879999999999995</v>
      </c>
      <c r="H210" s="81">
        <v>994</v>
      </c>
      <c r="I210" s="17">
        <v>34.129999999999995</v>
      </c>
      <c r="J210" s="86">
        <v>1120</v>
      </c>
      <c r="K210" s="87">
        <v>0</v>
      </c>
      <c r="L210" s="87">
        <v>0</v>
      </c>
      <c r="M210" s="87">
        <f t="shared" si="991"/>
        <v>1120</v>
      </c>
      <c r="N210" s="87">
        <v>0</v>
      </c>
      <c r="O210" s="87">
        <v>0</v>
      </c>
      <c r="P210" s="87">
        <v>0</v>
      </c>
      <c r="Q210" s="87">
        <f t="shared" ref="Q210:Q212" si="1005">N210+O210+P210</f>
        <v>0</v>
      </c>
      <c r="R210" s="87">
        <f t="shared" si="946"/>
        <v>1120</v>
      </c>
      <c r="S210" s="87">
        <v>0</v>
      </c>
      <c r="V210" s="17">
        <f t="shared" ref="V210" si="1006">ROUND(H210*1.0583,2)</f>
        <v>1051.95</v>
      </c>
      <c r="W210" s="17">
        <f t="shared" ref="W210" si="1007">ROUND(I210*1.0327,2)</f>
        <v>35.25</v>
      </c>
      <c r="X210" s="108">
        <f t="shared" si="917"/>
        <v>68.049999999999955</v>
      </c>
      <c r="Y210" s="108">
        <f t="shared" si="918"/>
        <v>-35.25</v>
      </c>
      <c r="Z210" s="108">
        <v>1051.95</v>
      </c>
      <c r="AA210" s="108"/>
      <c r="AB210" s="108">
        <f t="shared" si="919"/>
        <v>1051.95</v>
      </c>
      <c r="AC210" s="109">
        <f t="shared" si="920"/>
        <v>0</v>
      </c>
      <c r="AD210" s="108">
        <f t="shared" ref="AD210:AD211" si="1008">IF(X210&gt;0,V210,R210)</f>
        <v>1051.95</v>
      </c>
      <c r="AE210" s="108">
        <f t="shared" ref="AE210:AE211" si="1009">IF(Y210&gt;0,W210,S210)</f>
        <v>0</v>
      </c>
      <c r="AF210" s="108">
        <f t="shared" si="921"/>
        <v>0</v>
      </c>
      <c r="AG210" s="108">
        <f t="shared" si="922"/>
        <v>263</v>
      </c>
      <c r="AH210" s="108">
        <f t="shared" si="923"/>
        <v>0</v>
      </c>
      <c r="AI210" s="127">
        <f t="shared" si="924"/>
        <v>88</v>
      </c>
      <c r="AJ210" s="108">
        <f t="shared" si="925"/>
        <v>0</v>
      </c>
      <c r="AM210" s="108">
        <f t="shared" si="926"/>
        <v>262.99</v>
      </c>
      <c r="AN210" s="108">
        <f t="shared" si="927"/>
        <v>0</v>
      </c>
      <c r="AQ210" s="108">
        <f t="shared" si="928"/>
        <v>525.99</v>
      </c>
      <c r="AR210" s="108">
        <f t="shared" si="929"/>
        <v>0</v>
      </c>
      <c r="AU210" s="108">
        <f t="shared" si="749"/>
        <v>262.99</v>
      </c>
      <c r="AV210" s="108">
        <f t="shared" si="995"/>
        <v>0</v>
      </c>
      <c r="AY210" s="108">
        <f t="shared" si="903"/>
        <v>876.98</v>
      </c>
      <c r="AZ210" s="108">
        <f t="shared" si="904"/>
        <v>0</v>
      </c>
      <c r="BA210" s="108">
        <f t="shared" si="905"/>
        <v>876.98</v>
      </c>
      <c r="BB210" s="139">
        <v>916.78</v>
      </c>
      <c r="BD210" s="139">
        <f t="shared" si="906"/>
        <v>-39.799999999999955</v>
      </c>
      <c r="BE210" s="139">
        <f t="shared" si="907"/>
        <v>0</v>
      </c>
      <c r="BF210" s="139">
        <f t="shared" si="908"/>
        <v>183.36</v>
      </c>
      <c r="BG210" s="139">
        <f t="shared" si="909"/>
        <v>0</v>
      </c>
      <c r="BH210" s="108">
        <v>111.58</v>
      </c>
      <c r="BI210" s="108">
        <v>0</v>
      </c>
      <c r="BL210" s="108">
        <f t="shared" si="948"/>
        <v>988.56000000000006</v>
      </c>
      <c r="BM210" s="108">
        <f t="shared" si="951"/>
        <v>0</v>
      </c>
      <c r="BN210" s="108">
        <f t="shared" si="952"/>
        <v>988.56000000000006</v>
      </c>
      <c r="BO210" s="108">
        <v>1008.66</v>
      </c>
      <c r="BP210" s="127"/>
      <c r="BQ210" s="108">
        <f t="shared" si="953"/>
        <v>-20.099999999999909</v>
      </c>
      <c r="BR210" s="108">
        <f t="shared" si="954"/>
        <v>0</v>
      </c>
      <c r="BS210" s="108">
        <f t="shared" si="955"/>
        <v>91.7</v>
      </c>
      <c r="BT210" s="108">
        <f t="shared" si="956"/>
        <v>0</v>
      </c>
      <c r="BU210" s="108">
        <f t="shared" si="987"/>
        <v>111.79999999999991</v>
      </c>
      <c r="BV210" s="108">
        <v>0</v>
      </c>
      <c r="BW210" s="108">
        <v>3.19</v>
      </c>
      <c r="BX210" s="108">
        <v>0.45</v>
      </c>
      <c r="CA210" s="108">
        <v>1103.55</v>
      </c>
      <c r="CB210" s="108">
        <v>0.45</v>
      </c>
      <c r="CC210">
        <v>1213.9100000000001</v>
      </c>
      <c r="CD210">
        <v>0.52</v>
      </c>
      <c r="CE210" s="189">
        <v>101</v>
      </c>
      <c r="CF210" s="189">
        <v>0</v>
      </c>
      <c r="CG210" s="189">
        <f t="shared" si="957"/>
        <v>275.89</v>
      </c>
      <c r="CH210" s="189">
        <f t="shared" si="958"/>
        <v>0.11</v>
      </c>
      <c r="CI210" s="150"/>
      <c r="CJ210" s="150"/>
      <c r="CK210" s="150">
        <f>395.41-50</f>
        <v>345.41</v>
      </c>
      <c r="CL210" s="150">
        <f>175.6-75.6</f>
        <v>100</v>
      </c>
      <c r="CM210" s="150"/>
      <c r="CN210" s="150">
        <v>62.95</v>
      </c>
      <c r="CO210" s="150">
        <v>1391.19</v>
      </c>
      <c r="CP210" s="150">
        <v>390</v>
      </c>
      <c r="CQ210" s="150">
        <f t="shared" si="959"/>
        <v>1381.64</v>
      </c>
      <c r="CR210" s="150">
        <f t="shared" si="960"/>
        <v>400</v>
      </c>
      <c r="CS210" s="150">
        <f t="shared" si="961"/>
        <v>1381.64</v>
      </c>
      <c r="CT210" s="150">
        <f t="shared" si="962"/>
        <v>390</v>
      </c>
      <c r="CU210" s="150">
        <v>1331.64</v>
      </c>
      <c r="CV210" s="150">
        <v>229</v>
      </c>
      <c r="CW210" s="150">
        <f t="shared" si="963"/>
        <v>332.91</v>
      </c>
      <c r="CX210" s="150">
        <f>ROUND(CV210*25%,2)-57.25</f>
        <v>0</v>
      </c>
      <c r="CY210" s="150"/>
      <c r="CZ210" s="150"/>
      <c r="DA210" s="150">
        <f t="shared" si="964"/>
        <v>779.32</v>
      </c>
      <c r="DB210" s="150">
        <f t="shared" si="965"/>
        <v>162.94999999999999</v>
      </c>
      <c r="DC210" s="150">
        <v>742.15</v>
      </c>
      <c r="DD210" s="150">
        <v>162.94999999999999</v>
      </c>
      <c r="DE210" s="150">
        <f t="shared" si="966"/>
        <v>37.170000000000073</v>
      </c>
      <c r="DF210" s="150">
        <f t="shared" si="967"/>
        <v>0</v>
      </c>
      <c r="DG210" s="150">
        <f t="shared" ref="DG210:DH212" si="1010">ROUND(0.25*(MIN(CU210,DO210)),2)</f>
        <v>332.91</v>
      </c>
      <c r="DH210" s="150">
        <f t="shared" si="1010"/>
        <v>57.25</v>
      </c>
      <c r="DI210" s="150">
        <f t="shared" ref="DI210:DJ212" si="1011">+DG210-DE210</f>
        <v>295.73999999999995</v>
      </c>
      <c r="DJ210" s="150">
        <f t="shared" si="1011"/>
        <v>57.25</v>
      </c>
      <c r="DK210" s="104">
        <f t="shared" si="839"/>
        <v>339.71</v>
      </c>
      <c r="DL210" s="104">
        <f t="shared" si="840"/>
        <v>8.8000000000000114</v>
      </c>
      <c r="DM210" s="104">
        <f t="shared" si="949"/>
        <v>256.5800000000001</v>
      </c>
      <c r="DN210" s="104">
        <f t="shared" si="950"/>
        <v>8.8000000000000114</v>
      </c>
      <c r="DO210" s="104">
        <v>1414.77</v>
      </c>
      <c r="DP210" s="104">
        <v>229</v>
      </c>
      <c r="DQ210" s="104">
        <v>1597.97</v>
      </c>
      <c r="DR210" s="104">
        <v>60</v>
      </c>
    </row>
    <row r="211" spans="1:129" ht="18.75">
      <c r="A211" s="13">
        <v>21</v>
      </c>
      <c r="B211" s="13"/>
      <c r="C211" s="14"/>
      <c r="D211" s="15" t="s">
        <v>343</v>
      </c>
      <c r="E211" s="16"/>
      <c r="F211" s="81">
        <v>1807.6299999999997</v>
      </c>
      <c r="G211" s="81">
        <v>0</v>
      </c>
      <c r="H211" s="81">
        <v>1807.6299999999997</v>
      </c>
      <c r="I211" s="17">
        <v>0</v>
      </c>
      <c r="J211" s="86">
        <v>2000</v>
      </c>
      <c r="K211" s="87">
        <v>0</v>
      </c>
      <c r="L211" s="87">
        <v>0</v>
      </c>
      <c r="M211" s="87">
        <f t="shared" si="991"/>
        <v>2000</v>
      </c>
      <c r="N211" s="87">
        <v>0</v>
      </c>
      <c r="O211" s="87">
        <v>0</v>
      </c>
      <c r="P211" s="87">
        <v>0</v>
      </c>
      <c r="Q211" s="87">
        <f t="shared" si="1005"/>
        <v>0</v>
      </c>
      <c r="R211" s="87">
        <f t="shared" si="946"/>
        <v>2000</v>
      </c>
      <c r="S211" s="87">
        <v>0</v>
      </c>
      <c r="V211" s="17">
        <f t="shared" ref="V211:V212" si="1012">ROUND(H211*1.0583,2)</f>
        <v>1913.01</v>
      </c>
      <c r="W211" s="17">
        <f t="shared" ref="W211:W212" si="1013">ROUND(I211*1.0327,2)</f>
        <v>0</v>
      </c>
      <c r="X211" s="108">
        <f t="shared" si="917"/>
        <v>86.990000000000009</v>
      </c>
      <c r="Y211" s="108">
        <f t="shared" si="918"/>
        <v>0</v>
      </c>
      <c r="Z211" s="108">
        <v>1913.01</v>
      </c>
      <c r="AA211" s="108"/>
      <c r="AB211" s="108">
        <f t="shared" si="919"/>
        <v>1913.01</v>
      </c>
      <c r="AC211" s="109">
        <f t="shared" si="920"/>
        <v>0</v>
      </c>
      <c r="AD211" s="108">
        <f t="shared" si="1008"/>
        <v>1913.01</v>
      </c>
      <c r="AE211" s="108">
        <f t="shared" si="1009"/>
        <v>0</v>
      </c>
      <c r="AF211" s="108">
        <f t="shared" si="921"/>
        <v>0</v>
      </c>
      <c r="AG211" s="108">
        <f t="shared" si="922"/>
        <v>478</v>
      </c>
      <c r="AH211" s="108">
        <f t="shared" si="923"/>
        <v>0</v>
      </c>
      <c r="AI211" s="127">
        <f t="shared" si="924"/>
        <v>159</v>
      </c>
      <c r="AJ211" s="108">
        <f t="shared" si="925"/>
        <v>0</v>
      </c>
      <c r="AM211" s="108">
        <f t="shared" si="926"/>
        <v>478.25</v>
      </c>
      <c r="AN211" s="108">
        <f t="shared" si="927"/>
        <v>0</v>
      </c>
      <c r="AQ211" s="108">
        <f t="shared" si="928"/>
        <v>956.25</v>
      </c>
      <c r="AR211" s="108">
        <f t="shared" si="929"/>
        <v>0</v>
      </c>
      <c r="AU211" s="108">
        <f t="shared" si="749"/>
        <v>478.25</v>
      </c>
      <c r="AV211" s="108">
        <f t="shared" si="995"/>
        <v>0</v>
      </c>
      <c r="AY211" s="108">
        <f t="shared" si="903"/>
        <v>1593.5</v>
      </c>
      <c r="AZ211" s="108">
        <f t="shared" si="904"/>
        <v>0</v>
      </c>
      <c r="BA211" s="108">
        <f t="shared" si="905"/>
        <v>1593.5</v>
      </c>
      <c r="BB211" s="139">
        <v>1595.28</v>
      </c>
      <c r="BD211" s="139">
        <f t="shared" si="906"/>
        <v>-1.7799999999999727</v>
      </c>
      <c r="BE211" s="139">
        <f t="shared" si="907"/>
        <v>0</v>
      </c>
      <c r="BF211" s="139">
        <f t="shared" si="908"/>
        <v>319.06</v>
      </c>
      <c r="BG211" s="139">
        <f t="shared" si="909"/>
        <v>0</v>
      </c>
      <c r="BH211" s="108">
        <v>159.76</v>
      </c>
      <c r="BI211" s="108">
        <v>0</v>
      </c>
      <c r="BL211" s="108">
        <f t="shared" si="948"/>
        <v>1753.26</v>
      </c>
      <c r="BM211" s="108">
        <f t="shared" si="951"/>
        <v>0</v>
      </c>
      <c r="BN211" s="108">
        <f t="shared" si="952"/>
        <v>1753.26</v>
      </c>
      <c r="BO211" s="108">
        <v>1595.28</v>
      </c>
      <c r="BP211" s="127"/>
      <c r="BQ211" s="108">
        <f t="shared" si="953"/>
        <v>157.98000000000002</v>
      </c>
      <c r="BR211" s="108">
        <f t="shared" si="954"/>
        <v>0</v>
      </c>
      <c r="BS211" s="108">
        <f t="shared" si="955"/>
        <v>145.03</v>
      </c>
      <c r="BT211" s="108">
        <f t="shared" si="956"/>
        <v>0</v>
      </c>
      <c r="BU211" s="108">
        <f t="shared" si="987"/>
        <v>-12.950000000000017</v>
      </c>
      <c r="BV211" s="108">
        <v>0</v>
      </c>
      <c r="BW211" s="109">
        <f>51+121.7</f>
        <v>172.7</v>
      </c>
      <c r="CA211" s="108">
        <v>1913.01</v>
      </c>
      <c r="CB211" s="108">
        <v>0</v>
      </c>
      <c r="CC211">
        <v>2104.31</v>
      </c>
      <c r="CD211">
        <v>0</v>
      </c>
      <c r="CE211" s="189">
        <v>175</v>
      </c>
      <c r="CF211" s="189">
        <v>0</v>
      </c>
      <c r="CG211" s="189">
        <f t="shared" si="957"/>
        <v>478.25</v>
      </c>
      <c r="CH211" s="189">
        <f t="shared" si="958"/>
        <v>0</v>
      </c>
      <c r="CI211" s="150"/>
      <c r="CJ211" s="150"/>
      <c r="CK211" s="150">
        <v>470</v>
      </c>
      <c r="CL211" s="150">
        <v>0</v>
      </c>
      <c r="CM211" s="150"/>
      <c r="CN211" s="150"/>
      <c r="CO211" s="150">
        <v>2143</v>
      </c>
      <c r="CP211" s="150"/>
      <c r="CQ211" s="150">
        <f t="shared" si="959"/>
        <v>1880</v>
      </c>
      <c r="CR211" s="150">
        <f t="shared" si="960"/>
        <v>0</v>
      </c>
      <c r="CS211" s="150">
        <f t="shared" si="961"/>
        <v>1880</v>
      </c>
      <c r="CT211" s="150">
        <f t="shared" si="962"/>
        <v>0</v>
      </c>
      <c r="CU211" s="150">
        <f t="shared" ref="CU211:CU212" si="1014">IF(CQ211&lt;CS211,CQ211,CS211)</f>
        <v>1880</v>
      </c>
      <c r="CV211" s="150">
        <f t="shared" ref="CV211:CV212" si="1015">IF(CR211&lt;CT211,CR211,CT211)</f>
        <v>0</v>
      </c>
      <c r="CW211" s="150">
        <f t="shared" si="963"/>
        <v>470</v>
      </c>
      <c r="CX211" s="150">
        <f t="shared" si="963"/>
        <v>0</v>
      </c>
      <c r="CY211" s="150"/>
      <c r="CZ211" s="150"/>
      <c r="DA211" s="150">
        <f t="shared" si="964"/>
        <v>1115</v>
      </c>
      <c r="DB211" s="150">
        <f t="shared" si="965"/>
        <v>0</v>
      </c>
      <c r="DC211" s="150">
        <v>1115</v>
      </c>
      <c r="DD211" s="150">
        <v>0</v>
      </c>
      <c r="DE211" s="150">
        <f t="shared" si="966"/>
        <v>0</v>
      </c>
      <c r="DF211" s="150">
        <f t="shared" si="967"/>
        <v>0</v>
      </c>
      <c r="DG211" s="150">
        <f t="shared" si="1010"/>
        <v>470</v>
      </c>
      <c r="DH211" s="150">
        <f t="shared" si="1010"/>
        <v>0</v>
      </c>
      <c r="DI211" s="150">
        <f t="shared" si="1011"/>
        <v>470</v>
      </c>
      <c r="DJ211" s="150">
        <f t="shared" si="1011"/>
        <v>0</v>
      </c>
      <c r="DK211" s="104">
        <f t="shared" si="839"/>
        <v>295</v>
      </c>
      <c r="DL211" s="104">
        <f t="shared" si="840"/>
        <v>0</v>
      </c>
      <c r="DM211" s="104">
        <f t="shared" si="949"/>
        <v>295</v>
      </c>
      <c r="DN211" s="104">
        <f t="shared" si="950"/>
        <v>0</v>
      </c>
      <c r="DO211" s="104">
        <v>1880</v>
      </c>
      <c r="DQ211" s="104">
        <v>2187.9899999999998</v>
      </c>
    </row>
    <row r="212" spans="1:129" ht="18.75">
      <c r="A212" s="13">
        <v>22</v>
      </c>
      <c r="B212" s="13"/>
      <c r="C212" s="14"/>
      <c r="D212" s="15" t="s">
        <v>344</v>
      </c>
      <c r="E212" s="16"/>
      <c r="F212" s="81">
        <v>0</v>
      </c>
      <c r="G212" s="81">
        <v>0</v>
      </c>
      <c r="H212" s="81">
        <v>0</v>
      </c>
      <c r="I212" s="17">
        <v>0</v>
      </c>
      <c r="J212" s="86">
        <v>0</v>
      </c>
      <c r="K212" s="87">
        <v>0</v>
      </c>
      <c r="L212" s="87">
        <v>0</v>
      </c>
      <c r="M212" s="87">
        <f t="shared" si="991"/>
        <v>0</v>
      </c>
      <c r="N212" s="87">
        <v>0</v>
      </c>
      <c r="O212" s="87">
        <v>0</v>
      </c>
      <c r="P212" s="87">
        <v>0</v>
      </c>
      <c r="Q212" s="87">
        <f t="shared" si="1005"/>
        <v>0</v>
      </c>
      <c r="R212" s="87">
        <f t="shared" si="946"/>
        <v>0</v>
      </c>
      <c r="S212" s="87">
        <v>0</v>
      </c>
      <c r="V212" s="17">
        <f t="shared" si="1012"/>
        <v>0</v>
      </c>
      <c r="W212" s="17">
        <f t="shared" si="1013"/>
        <v>0</v>
      </c>
      <c r="X212" s="108">
        <f t="shared" si="917"/>
        <v>0</v>
      </c>
      <c r="Y212" s="108">
        <f t="shared" si="918"/>
        <v>0</v>
      </c>
      <c r="Z212" s="108">
        <v>0</v>
      </c>
      <c r="AA212" s="108"/>
      <c r="AB212" s="108">
        <f t="shared" si="919"/>
        <v>0</v>
      </c>
      <c r="AC212" s="109">
        <f t="shared" si="920"/>
        <v>0</v>
      </c>
      <c r="AD212" s="108">
        <f t="shared" ref="AD212" si="1016">IF(X212&gt;0,V212,R212)</f>
        <v>0</v>
      </c>
      <c r="AE212" s="108">
        <f t="shared" ref="AE212" si="1017">IF(Y212&gt;0,W212,S212)</f>
        <v>0</v>
      </c>
      <c r="AF212" s="108">
        <f t="shared" si="921"/>
        <v>0</v>
      </c>
      <c r="AG212" s="108">
        <f t="shared" si="922"/>
        <v>0</v>
      </c>
      <c r="AH212" s="108">
        <f t="shared" si="923"/>
        <v>0</v>
      </c>
      <c r="AI212" s="127">
        <f t="shared" si="924"/>
        <v>0</v>
      </c>
      <c r="AJ212" s="108">
        <f t="shared" si="925"/>
        <v>0</v>
      </c>
      <c r="AM212" s="108">
        <f t="shared" si="926"/>
        <v>0</v>
      </c>
      <c r="AN212" s="108">
        <f t="shared" si="927"/>
        <v>0</v>
      </c>
      <c r="AQ212" s="108">
        <f t="shared" si="928"/>
        <v>0</v>
      </c>
      <c r="AR212" s="108">
        <f t="shared" si="929"/>
        <v>0</v>
      </c>
      <c r="AU212" s="108">
        <f t="shared" si="749"/>
        <v>0</v>
      </c>
      <c r="AV212" s="108">
        <f t="shared" si="995"/>
        <v>0</v>
      </c>
      <c r="AY212" s="108">
        <f t="shared" si="903"/>
        <v>0</v>
      </c>
      <c r="AZ212" s="108">
        <f t="shared" si="904"/>
        <v>0</v>
      </c>
      <c r="BA212" s="108">
        <f t="shared" si="905"/>
        <v>0</v>
      </c>
      <c r="BB212" s="139">
        <v>0</v>
      </c>
      <c r="BD212" s="139">
        <f t="shared" si="906"/>
        <v>0</v>
      </c>
      <c r="BE212" s="139">
        <f t="shared" si="907"/>
        <v>0</v>
      </c>
      <c r="BF212" s="139">
        <f t="shared" si="908"/>
        <v>0</v>
      </c>
      <c r="BG212" s="139">
        <f t="shared" si="909"/>
        <v>0</v>
      </c>
      <c r="BH212" s="108">
        <v>0</v>
      </c>
      <c r="BI212" s="108">
        <v>0</v>
      </c>
      <c r="BL212" s="108">
        <f t="shared" si="948"/>
        <v>0</v>
      </c>
      <c r="BM212" s="108">
        <f t="shared" si="951"/>
        <v>0</v>
      </c>
      <c r="BN212" s="108">
        <f t="shared" si="952"/>
        <v>0</v>
      </c>
      <c r="BO212" s="108">
        <v>0</v>
      </c>
      <c r="BP212" s="127"/>
      <c r="BQ212" s="108">
        <f t="shared" si="953"/>
        <v>0</v>
      </c>
      <c r="BR212" s="108">
        <f t="shared" si="954"/>
        <v>0</v>
      </c>
      <c r="BS212" s="108">
        <f t="shared" si="955"/>
        <v>0</v>
      </c>
      <c r="BT212" s="108">
        <f t="shared" si="956"/>
        <v>0</v>
      </c>
      <c r="BU212" s="108">
        <f t="shared" si="987"/>
        <v>0</v>
      </c>
      <c r="BV212" s="108">
        <v>0</v>
      </c>
      <c r="CA212" s="108">
        <v>0</v>
      </c>
      <c r="CB212" s="108">
        <v>0</v>
      </c>
      <c r="CC212">
        <v>0</v>
      </c>
      <c r="CD212">
        <v>0</v>
      </c>
      <c r="CE212" s="189">
        <v>0</v>
      </c>
      <c r="CF212" s="189">
        <v>0</v>
      </c>
      <c r="CG212" s="189">
        <f t="shared" si="957"/>
        <v>0</v>
      </c>
      <c r="CH212" s="189">
        <f t="shared" si="958"/>
        <v>0</v>
      </c>
      <c r="CI212" s="150"/>
      <c r="CJ212" s="150"/>
      <c r="CK212" s="150">
        <v>0</v>
      </c>
      <c r="CL212" s="150">
        <v>0</v>
      </c>
      <c r="CM212" s="150"/>
      <c r="CN212" s="150"/>
      <c r="CO212" s="150"/>
      <c r="CP212" s="150"/>
      <c r="CQ212" s="150">
        <f t="shared" si="959"/>
        <v>0</v>
      </c>
      <c r="CR212" s="150">
        <f t="shared" si="960"/>
        <v>0</v>
      </c>
      <c r="CS212" s="150">
        <f t="shared" si="961"/>
        <v>0</v>
      </c>
      <c r="CT212" s="150">
        <f t="shared" si="962"/>
        <v>0</v>
      </c>
      <c r="CU212" s="150">
        <f t="shared" si="1014"/>
        <v>0</v>
      </c>
      <c r="CV212" s="150">
        <f t="shared" si="1015"/>
        <v>0</v>
      </c>
      <c r="CW212" s="150">
        <f t="shared" si="963"/>
        <v>0</v>
      </c>
      <c r="CX212" s="150">
        <f t="shared" si="963"/>
        <v>0</v>
      </c>
      <c r="CY212" s="150"/>
      <c r="CZ212" s="150"/>
      <c r="DA212" s="150">
        <f t="shared" si="964"/>
        <v>0</v>
      </c>
      <c r="DB212" s="150">
        <f t="shared" si="965"/>
        <v>0</v>
      </c>
      <c r="DC212" s="150">
        <v>0</v>
      </c>
      <c r="DD212" s="150">
        <v>0</v>
      </c>
      <c r="DE212" s="150">
        <f t="shared" si="966"/>
        <v>0</v>
      </c>
      <c r="DF212" s="150">
        <f t="shared" si="967"/>
        <v>0</v>
      </c>
      <c r="DG212" s="150">
        <f t="shared" si="1010"/>
        <v>0</v>
      </c>
      <c r="DH212" s="150">
        <f t="shared" si="1010"/>
        <v>0</v>
      </c>
      <c r="DI212" s="150">
        <f t="shared" si="1011"/>
        <v>0</v>
      </c>
      <c r="DJ212" s="150">
        <f t="shared" si="1011"/>
        <v>0</v>
      </c>
      <c r="DK212" s="104">
        <f t="shared" si="839"/>
        <v>0</v>
      </c>
      <c r="DL212" s="104">
        <f t="shared" si="840"/>
        <v>0</v>
      </c>
      <c r="DM212" s="104">
        <f t="shared" si="949"/>
        <v>0</v>
      </c>
      <c r="DN212" s="104">
        <f t="shared" si="950"/>
        <v>0</v>
      </c>
      <c r="DO212" s="104">
        <v>0</v>
      </c>
      <c r="DP212" s="104">
        <v>0</v>
      </c>
      <c r="DQ212" s="104">
        <v>0</v>
      </c>
      <c r="DR212" s="104">
        <v>0</v>
      </c>
    </row>
    <row r="213" spans="1:129" ht="18.75">
      <c r="A213" s="18"/>
      <c r="B213" s="18" t="s">
        <v>345</v>
      </c>
      <c r="C213" s="19" t="s">
        <v>23</v>
      </c>
      <c r="D213" s="20" t="s">
        <v>342</v>
      </c>
      <c r="E213" s="21" t="s">
        <v>346</v>
      </c>
      <c r="F213" s="22">
        <v>2801.6299999999997</v>
      </c>
      <c r="G213" s="22">
        <v>33.879999999999995</v>
      </c>
      <c r="H213" s="22">
        <v>2801.6299999999997</v>
      </c>
      <c r="I213" s="22">
        <v>34.129999999999995</v>
      </c>
      <c r="J213" s="88">
        <f t="shared" ref="J213:AA213" si="1018">+J210+J211+J212</f>
        <v>3120</v>
      </c>
      <c r="K213" s="88">
        <f t="shared" si="1018"/>
        <v>0</v>
      </c>
      <c r="L213" s="88">
        <f t="shared" si="1018"/>
        <v>0</v>
      </c>
      <c r="M213" s="88">
        <f t="shared" si="1018"/>
        <v>3120</v>
      </c>
      <c r="N213" s="88">
        <f t="shared" si="1018"/>
        <v>0</v>
      </c>
      <c r="O213" s="88">
        <f t="shared" si="1018"/>
        <v>0</v>
      </c>
      <c r="P213" s="88">
        <f t="shared" si="1018"/>
        <v>0</v>
      </c>
      <c r="Q213" s="88">
        <f t="shared" si="1018"/>
        <v>0</v>
      </c>
      <c r="R213" s="88">
        <f t="shared" si="1018"/>
        <v>3120</v>
      </c>
      <c r="S213" s="88">
        <f t="shared" si="1018"/>
        <v>0</v>
      </c>
      <c r="T213" s="88">
        <f t="shared" si="1018"/>
        <v>0</v>
      </c>
      <c r="U213" s="88">
        <f t="shared" si="1018"/>
        <v>0</v>
      </c>
      <c r="V213" s="88">
        <f t="shared" si="1018"/>
        <v>2964.96</v>
      </c>
      <c r="W213" s="88">
        <f t="shared" si="1018"/>
        <v>35.25</v>
      </c>
      <c r="X213" s="88">
        <f t="shared" si="1018"/>
        <v>155.03999999999996</v>
      </c>
      <c r="Y213" s="88">
        <f t="shared" si="1018"/>
        <v>-35.25</v>
      </c>
      <c r="Z213" s="88">
        <f t="shared" si="1018"/>
        <v>2964.96</v>
      </c>
      <c r="AA213" s="88">
        <f t="shared" si="1018"/>
        <v>0</v>
      </c>
      <c r="AB213" s="22">
        <f t="shared" si="919"/>
        <v>2964.96</v>
      </c>
      <c r="AC213" s="109">
        <f t="shared" si="920"/>
        <v>0</v>
      </c>
      <c r="AD213" s="22">
        <f t="shared" ref="AD213:CO213" si="1019">+AD210+AD211+AD212</f>
        <v>2964.96</v>
      </c>
      <c r="AE213" s="22">
        <f t="shared" si="1019"/>
        <v>0</v>
      </c>
      <c r="AF213" s="22">
        <f t="shared" si="1019"/>
        <v>0</v>
      </c>
      <c r="AG213" s="22">
        <f t="shared" si="1019"/>
        <v>741</v>
      </c>
      <c r="AH213" s="22">
        <f t="shared" si="1019"/>
        <v>0</v>
      </c>
      <c r="AI213" s="118">
        <f t="shared" si="1019"/>
        <v>247</v>
      </c>
      <c r="AJ213" s="22">
        <f t="shared" si="1019"/>
        <v>0</v>
      </c>
      <c r="AK213" s="22">
        <f t="shared" si="1019"/>
        <v>0</v>
      </c>
      <c r="AL213" s="22">
        <f t="shared" si="1019"/>
        <v>0</v>
      </c>
      <c r="AM213" s="22">
        <f t="shared" si="1019"/>
        <v>741.24</v>
      </c>
      <c r="AN213" s="22">
        <f t="shared" si="1019"/>
        <v>0</v>
      </c>
      <c r="AO213" s="22">
        <f t="shared" si="1019"/>
        <v>0</v>
      </c>
      <c r="AP213" s="22">
        <f t="shared" si="1019"/>
        <v>0</v>
      </c>
      <c r="AQ213" s="22">
        <f t="shared" si="1019"/>
        <v>1482.24</v>
      </c>
      <c r="AR213" s="22">
        <f t="shared" si="1019"/>
        <v>0</v>
      </c>
      <c r="AS213" s="22">
        <f t="shared" si="1019"/>
        <v>0</v>
      </c>
      <c r="AT213" s="22">
        <f t="shared" si="1019"/>
        <v>0</v>
      </c>
      <c r="AU213" s="22">
        <f t="shared" si="1019"/>
        <v>741.24</v>
      </c>
      <c r="AV213" s="22">
        <f t="shared" si="1019"/>
        <v>0</v>
      </c>
      <c r="AW213" s="22">
        <f t="shared" si="1019"/>
        <v>0</v>
      </c>
      <c r="AX213" s="22">
        <f t="shared" si="1019"/>
        <v>0</v>
      </c>
      <c r="AY213" s="22">
        <f t="shared" si="1019"/>
        <v>2470.48</v>
      </c>
      <c r="AZ213" s="22">
        <f t="shared" si="1019"/>
        <v>0</v>
      </c>
      <c r="BA213" s="22">
        <f t="shared" si="1019"/>
        <v>2470.48</v>
      </c>
      <c r="BB213" s="22">
        <f t="shared" si="1019"/>
        <v>2512.06</v>
      </c>
      <c r="BC213" s="22">
        <f t="shared" si="1019"/>
        <v>0</v>
      </c>
      <c r="BD213" s="22">
        <f t="shared" si="1019"/>
        <v>-41.579999999999927</v>
      </c>
      <c r="BE213" s="22">
        <f t="shared" si="1019"/>
        <v>0</v>
      </c>
      <c r="BF213" s="22">
        <f t="shared" si="1019"/>
        <v>502.42</v>
      </c>
      <c r="BG213" s="118">
        <f t="shared" si="1019"/>
        <v>0</v>
      </c>
      <c r="BH213" s="118">
        <f t="shared" si="1019"/>
        <v>271.33999999999997</v>
      </c>
      <c r="BI213" s="118">
        <f t="shared" si="1019"/>
        <v>0</v>
      </c>
      <c r="BJ213" s="118">
        <f t="shared" si="1019"/>
        <v>0</v>
      </c>
      <c r="BK213" s="118">
        <f t="shared" si="1019"/>
        <v>0</v>
      </c>
      <c r="BL213" s="118">
        <f t="shared" si="1019"/>
        <v>2741.82</v>
      </c>
      <c r="BM213" s="118">
        <f t="shared" si="1019"/>
        <v>0</v>
      </c>
      <c r="BN213" s="118">
        <f t="shared" si="1019"/>
        <v>2741.82</v>
      </c>
      <c r="BO213" s="118">
        <f t="shared" si="1019"/>
        <v>2603.94</v>
      </c>
      <c r="BP213" s="118">
        <f t="shared" si="1019"/>
        <v>0</v>
      </c>
      <c r="BQ213" s="22">
        <f t="shared" si="1019"/>
        <v>137.88000000000011</v>
      </c>
      <c r="BR213" s="22">
        <f t="shared" si="1019"/>
        <v>0</v>
      </c>
      <c r="BS213" s="22">
        <f t="shared" si="1019"/>
        <v>236.73000000000002</v>
      </c>
      <c r="BT213" s="22">
        <f t="shared" si="1019"/>
        <v>0</v>
      </c>
      <c r="BU213" s="22">
        <f t="shared" si="1019"/>
        <v>98.849999999999895</v>
      </c>
      <c r="BV213" s="22">
        <f t="shared" si="1019"/>
        <v>0</v>
      </c>
      <c r="BW213" s="22">
        <f t="shared" si="1019"/>
        <v>175.89</v>
      </c>
      <c r="BX213" s="22">
        <f t="shared" si="1019"/>
        <v>0.45</v>
      </c>
      <c r="BY213" s="22">
        <f t="shared" si="1019"/>
        <v>0</v>
      </c>
      <c r="BZ213" s="22">
        <f t="shared" si="1019"/>
        <v>0</v>
      </c>
      <c r="CA213" s="22">
        <f t="shared" si="1019"/>
        <v>3016.56</v>
      </c>
      <c r="CB213" s="22">
        <f t="shared" si="1019"/>
        <v>0.45</v>
      </c>
      <c r="CC213" s="22">
        <f t="shared" si="1019"/>
        <v>3318.2200000000003</v>
      </c>
      <c r="CD213" s="118">
        <f t="shared" si="1019"/>
        <v>0.52</v>
      </c>
      <c r="CE213" s="190">
        <f t="shared" si="1019"/>
        <v>276</v>
      </c>
      <c r="CF213" s="190">
        <f t="shared" si="1019"/>
        <v>0</v>
      </c>
      <c r="CG213" s="190">
        <f t="shared" si="1019"/>
        <v>754.14</v>
      </c>
      <c r="CH213" s="190">
        <f t="shared" si="1019"/>
        <v>0.11</v>
      </c>
      <c r="CI213" s="190">
        <f t="shared" si="1019"/>
        <v>0</v>
      </c>
      <c r="CJ213" s="190">
        <f t="shared" si="1019"/>
        <v>0</v>
      </c>
      <c r="CK213" s="190">
        <f t="shared" si="1019"/>
        <v>815.41000000000008</v>
      </c>
      <c r="CL213" s="190">
        <f t="shared" si="1019"/>
        <v>100</v>
      </c>
      <c r="CM213" s="190">
        <f t="shared" si="1019"/>
        <v>0</v>
      </c>
      <c r="CN213" s="190">
        <f t="shared" si="1019"/>
        <v>62.95</v>
      </c>
      <c r="CO213" s="190">
        <f t="shared" si="1019"/>
        <v>3534.19</v>
      </c>
      <c r="CP213" s="190">
        <f t="shared" ref="CP213:DQ213" si="1020">+CP210+CP211+CP212</f>
        <v>390</v>
      </c>
      <c r="CQ213" s="190">
        <f t="shared" si="1020"/>
        <v>3261.6400000000003</v>
      </c>
      <c r="CR213" s="190">
        <f t="shared" si="1020"/>
        <v>400</v>
      </c>
      <c r="CS213" s="190">
        <f t="shared" si="1020"/>
        <v>3261.6400000000003</v>
      </c>
      <c r="CT213" s="190">
        <f t="shared" si="1020"/>
        <v>390</v>
      </c>
      <c r="CU213" s="190">
        <f t="shared" si="1020"/>
        <v>3211.6400000000003</v>
      </c>
      <c r="CV213" s="190">
        <f t="shared" si="1020"/>
        <v>229</v>
      </c>
      <c r="CW213" s="190">
        <f t="shared" si="1020"/>
        <v>802.91000000000008</v>
      </c>
      <c r="CX213" s="190">
        <f t="shared" si="1020"/>
        <v>0</v>
      </c>
      <c r="CY213" s="190">
        <f t="shared" si="1020"/>
        <v>0</v>
      </c>
      <c r="CZ213" s="190">
        <f t="shared" si="1020"/>
        <v>0</v>
      </c>
      <c r="DA213" s="190">
        <f t="shared" si="1020"/>
        <v>1894.3200000000002</v>
      </c>
      <c r="DB213" s="190">
        <f t="shared" si="1020"/>
        <v>162.94999999999999</v>
      </c>
      <c r="DC213" s="190">
        <f t="shared" si="1020"/>
        <v>1857.15</v>
      </c>
      <c r="DD213" s="190">
        <f t="shared" si="1020"/>
        <v>162.94999999999999</v>
      </c>
      <c r="DE213" s="190">
        <f t="shared" si="1020"/>
        <v>37.170000000000073</v>
      </c>
      <c r="DF213" s="190">
        <f t="shared" si="1020"/>
        <v>0</v>
      </c>
      <c r="DG213" s="190">
        <f t="shared" si="1020"/>
        <v>802.91000000000008</v>
      </c>
      <c r="DH213" s="190">
        <f t="shared" si="1020"/>
        <v>57.25</v>
      </c>
      <c r="DI213" s="190">
        <f t="shared" si="1020"/>
        <v>765.74</v>
      </c>
      <c r="DJ213" s="190">
        <f t="shared" si="1020"/>
        <v>57.25</v>
      </c>
      <c r="DK213" s="104">
        <f t="shared" si="839"/>
        <v>634.70999999999981</v>
      </c>
      <c r="DL213" s="104">
        <f t="shared" si="840"/>
        <v>8.8000000000000114</v>
      </c>
      <c r="DM213" s="104">
        <f t="shared" si="949"/>
        <v>551.58000000000015</v>
      </c>
      <c r="DN213" s="104">
        <f t="shared" si="950"/>
        <v>8.8000000000000114</v>
      </c>
      <c r="DO213" s="22">
        <f t="shared" si="1020"/>
        <v>3294.77</v>
      </c>
      <c r="DP213" s="22">
        <f t="shared" si="1020"/>
        <v>229</v>
      </c>
      <c r="DQ213" s="22">
        <f t="shared" si="1020"/>
        <v>3785.96</v>
      </c>
      <c r="DR213" s="22">
        <f t="shared" ref="DR213:DU213" si="1021">+DR210+DR211+DR212</f>
        <v>60</v>
      </c>
      <c r="DS213" s="22">
        <f t="shared" si="1021"/>
        <v>0</v>
      </c>
      <c r="DT213" s="22">
        <f t="shared" si="1021"/>
        <v>0</v>
      </c>
      <c r="DU213" s="22">
        <f t="shared" si="1021"/>
        <v>0</v>
      </c>
    </row>
    <row r="214" spans="1:129" ht="37.5">
      <c r="A214" s="18">
        <v>23</v>
      </c>
      <c r="B214" s="18" t="s">
        <v>347</v>
      </c>
      <c r="C214" s="19" t="s">
        <v>208</v>
      </c>
      <c r="D214" s="20" t="s">
        <v>583</v>
      </c>
      <c r="E214" s="21" t="s">
        <v>348</v>
      </c>
      <c r="F214" s="81">
        <v>200.66</v>
      </c>
      <c r="G214" s="81">
        <v>0</v>
      </c>
      <c r="H214" s="81">
        <v>200.66</v>
      </c>
      <c r="I214" s="22">
        <v>0</v>
      </c>
      <c r="J214" s="88">
        <v>215</v>
      </c>
      <c r="K214" s="88">
        <v>0</v>
      </c>
      <c r="L214" s="88">
        <v>0</v>
      </c>
      <c r="M214" s="88">
        <f t="shared" ref="M214" si="1022">+L214+K214+J214</f>
        <v>215</v>
      </c>
      <c r="N214" s="88">
        <v>0</v>
      </c>
      <c r="O214" s="88">
        <v>0</v>
      </c>
      <c r="P214" s="88">
        <v>0</v>
      </c>
      <c r="Q214" s="88">
        <f t="shared" ref="Q214" si="1023">+P214+O214+N214</f>
        <v>0</v>
      </c>
      <c r="R214" s="88">
        <f t="shared" si="946"/>
        <v>215</v>
      </c>
      <c r="S214" s="88">
        <v>0</v>
      </c>
      <c r="V214" s="22">
        <f t="shared" ref="V214:V216" si="1024">ROUND(H214*1.0583,2)</f>
        <v>212.36</v>
      </c>
      <c r="W214" s="88">
        <f t="shared" ref="W214:W216" si="1025">ROUND(I214*1.0327,2)</f>
        <v>0</v>
      </c>
      <c r="X214" s="88">
        <f t="shared" si="917"/>
        <v>2.6399999999999864</v>
      </c>
      <c r="Y214" s="88">
        <f t="shared" si="918"/>
        <v>0</v>
      </c>
      <c r="Z214" s="88">
        <v>212.36</v>
      </c>
      <c r="AA214" s="88"/>
      <c r="AB214" s="88">
        <f t="shared" si="919"/>
        <v>212.36</v>
      </c>
      <c r="AC214" s="109">
        <f t="shared" si="920"/>
        <v>0</v>
      </c>
      <c r="AD214" s="88">
        <f t="shared" ref="AD214:AD215" si="1026">IF(X214&gt;0,V214,R214)</f>
        <v>212.36</v>
      </c>
      <c r="AE214" s="88">
        <f t="shared" ref="AE214:AE215" si="1027">IF(Y214&gt;0,W214,S214)</f>
        <v>0</v>
      </c>
      <c r="AF214" s="88">
        <f t="shared" si="921"/>
        <v>0</v>
      </c>
      <c r="AG214" s="108">
        <f t="shared" si="922"/>
        <v>53</v>
      </c>
      <c r="AH214" s="108">
        <f t="shared" si="923"/>
        <v>0</v>
      </c>
      <c r="AI214" s="127">
        <f t="shared" si="924"/>
        <v>18</v>
      </c>
      <c r="AJ214" s="108">
        <f t="shared" si="925"/>
        <v>0</v>
      </c>
      <c r="AM214" s="108">
        <f t="shared" si="926"/>
        <v>53.09</v>
      </c>
      <c r="AN214" s="108">
        <f t="shared" si="927"/>
        <v>0</v>
      </c>
      <c r="AQ214" s="108">
        <f t="shared" si="928"/>
        <v>106.09</v>
      </c>
      <c r="AR214" s="108">
        <f t="shared" si="929"/>
        <v>0</v>
      </c>
      <c r="AU214" s="108">
        <f t="shared" si="749"/>
        <v>53.09</v>
      </c>
      <c r="AV214" s="108">
        <f t="shared" si="995"/>
        <v>0</v>
      </c>
      <c r="AY214" s="108">
        <f t="shared" si="903"/>
        <v>177.18</v>
      </c>
      <c r="AZ214" s="108">
        <f t="shared" si="904"/>
        <v>0</v>
      </c>
      <c r="BA214" s="108">
        <f t="shared" si="905"/>
        <v>177.18</v>
      </c>
      <c r="BB214" s="139">
        <v>167.78</v>
      </c>
      <c r="BD214" s="139">
        <f t="shared" si="906"/>
        <v>9.4000000000000057</v>
      </c>
      <c r="BE214" s="139">
        <f t="shared" si="907"/>
        <v>0</v>
      </c>
      <c r="BF214" s="139">
        <f t="shared" si="908"/>
        <v>33.56</v>
      </c>
      <c r="BG214" s="139">
        <f t="shared" si="909"/>
        <v>0</v>
      </c>
      <c r="BH214" s="108">
        <v>12.08</v>
      </c>
      <c r="BI214" s="108">
        <v>0</v>
      </c>
      <c r="BL214" s="108">
        <f t="shared" si="948"/>
        <v>189.26000000000002</v>
      </c>
      <c r="BM214" s="108">
        <f t="shared" si="951"/>
        <v>0</v>
      </c>
      <c r="BN214" s="108">
        <f t="shared" si="952"/>
        <v>189.26000000000002</v>
      </c>
      <c r="BO214" s="108">
        <v>185.29</v>
      </c>
      <c r="BP214" s="127"/>
      <c r="BQ214" s="108">
        <f t="shared" si="953"/>
        <v>3.9700000000000273</v>
      </c>
      <c r="BR214" s="108">
        <f t="shared" si="954"/>
        <v>0</v>
      </c>
      <c r="BS214" s="108">
        <f t="shared" si="955"/>
        <v>16.84</v>
      </c>
      <c r="BT214" s="108">
        <f t="shared" si="956"/>
        <v>0</v>
      </c>
      <c r="BU214" s="143">
        <v>29.17</v>
      </c>
      <c r="BV214" s="108">
        <v>0</v>
      </c>
      <c r="CA214" s="108">
        <v>218.43</v>
      </c>
      <c r="CB214" s="108">
        <v>0</v>
      </c>
      <c r="CC214">
        <v>240.27</v>
      </c>
      <c r="CD214">
        <v>0</v>
      </c>
      <c r="CE214" s="189">
        <v>20</v>
      </c>
      <c r="CF214" s="189">
        <v>0</v>
      </c>
      <c r="CG214" s="189">
        <f t="shared" si="957"/>
        <v>54.61</v>
      </c>
      <c r="CH214" s="189">
        <f t="shared" si="958"/>
        <v>0</v>
      </c>
      <c r="CI214" s="150"/>
      <c r="CJ214" s="150"/>
      <c r="CK214" s="150">
        <v>70</v>
      </c>
      <c r="CL214" s="150">
        <v>0</v>
      </c>
      <c r="CM214" s="150"/>
      <c r="CN214" s="150"/>
      <c r="CO214" s="150">
        <v>300</v>
      </c>
      <c r="CP214" s="150"/>
      <c r="CQ214" s="150">
        <f t="shared" si="959"/>
        <v>280</v>
      </c>
      <c r="CR214" s="150">
        <f t="shared" si="960"/>
        <v>0</v>
      </c>
      <c r="CS214" s="150">
        <f t="shared" si="961"/>
        <v>280</v>
      </c>
      <c r="CT214" s="150">
        <f t="shared" si="962"/>
        <v>0</v>
      </c>
      <c r="CU214" s="150">
        <f t="shared" ref="CU214:CU216" si="1028">IF(CQ214&lt;CS214,CQ214,CS214)</f>
        <v>280</v>
      </c>
      <c r="CV214" s="150">
        <f t="shared" ref="CV214" si="1029">IF(CR214&lt;CT214,CR214,CT214)</f>
        <v>0</v>
      </c>
      <c r="CW214" s="150">
        <f t="shared" si="963"/>
        <v>70</v>
      </c>
      <c r="CX214" s="150">
        <f t="shared" si="963"/>
        <v>0</v>
      </c>
      <c r="CY214" s="150"/>
      <c r="CZ214" s="150"/>
      <c r="DA214" s="150">
        <f t="shared" si="964"/>
        <v>160</v>
      </c>
      <c r="DB214" s="150">
        <f t="shared" si="965"/>
        <v>0</v>
      </c>
      <c r="DC214" s="150">
        <v>134.56</v>
      </c>
      <c r="DD214" s="150">
        <v>0</v>
      </c>
      <c r="DE214" s="150">
        <f t="shared" si="966"/>
        <v>25.439999999999998</v>
      </c>
      <c r="DF214" s="150">
        <f t="shared" si="967"/>
        <v>0</v>
      </c>
      <c r="DG214" s="150">
        <f t="shared" ref="DG214:DH216" si="1030">ROUND(0.25*(MIN(CU214,DO214)),2)</f>
        <v>62.5</v>
      </c>
      <c r="DH214" s="150">
        <f t="shared" si="1030"/>
        <v>0</v>
      </c>
      <c r="DI214" s="150">
        <f>+DG214-DE214</f>
        <v>37.06</v>
      </c>
      <c r="DJ214" s="150">
        <f>+DH214-DF214</f>
        <v>0</v>
      </c>
      <c r="DK214" s="104">
        <f t="shared" si="839"/>
        <v>52.94</v>
      </c>
      <c r="DL214" s="104">
        <f t="shared" si="840"/>
        <v>0</v>
      </c>
      <c r="DM214" s="104">
        <f t="shared" si="949"/>
        <v>82.94</v>
      </c>
      <c r="DN214" s="104">
        <f t="shared" si="950"/>
        <v>0</v>
      </c>
      <c r="DO214" s="104">
        <v>250</v>
      </c>
      <c r="DP214" s="104">
        <v>0</v>
      </c>
      <c r="DQ214" s="104">
        <v>250</v>
      </c>
      <c r="DR214" s="104">
        <v>0</v>
      </c>
    </row>
    <row r="215" spans="1:129" ht="18.75">
      <c r="A215" s="13">
        <v>24</v>
      </c>
      <c r="B215" s="13"/>
      <c r="C215" s="14"/>
      <c r="D215" s="15" t="s">
        <v>349</v>
      </c>
      <c r="E215" s="16"/>
      <c r="F215" s="81">
        <v>759.22</v>
      </c>
      <c r="G215" s="81">
        <v>65.33</v>
      </c>
      <c r="H215" s="81">
        <v>759.22</v>
      </c>
      <c r="I215" s="17">
        <v>65.33</v>
      </c>
      <c r="J215" s="86">
        <v>844.89</v>
      </c>
      <c r="K215" s="87">
        <v>0</v>
      </c>
      <c r="L215" s="87">
        <v>0</v>
      </c>
      <c r="M215" s="87">
        <f t="shared" ref="M215:M216" si="1031">J215+K215+L215</f>
        <v>844.89</v>
      </c>
      <c r="N215" s="87">
        <v>0</v>
      </c>
      <c r="O215" s="87">
        <v>0</v>
      </c>
      <c r="P215" s="87">
        <v>0</v>
      </c>
      <c r="Q215" s="87">
        <f t="shared" ref="Q215:Q216" si="1032">N215+O215+P215</f>
        <v>0</v>
      </c>
      <c r="R215" s="87">
        <f t="shared" si="946"/>
        <v>844.89</v>
      </c>
      <c r="S215" s="87">
        <v>60</v>
      </c>
      <c r="V215" s="17">
        <f t="shared" si="1024"/>
        <v>803.48</v>
      </c>
      <c r="W215" s="17">
        <f t="shared" si="1025"/>
        <v>67.47</v>
      </c>
      <c r="X215" s="108">
        <f t="shared" si="917"/>
        <v>41.409999999999968</v>
      </c>
      <c r="Y215" s="108">
        <f t="shared" si="918"/>
        <v>-7.4699999999999989</v>
      </c>
      <c r="Z215" s="108">
        <v>803.48</v>
      </c>
      <c r="AA215" s="108"/>
      <c r="AB215" s="108">
        <f t="shared" si="919"/>
        <v>803.48</v>
      </c>
      <c r="AC215" s="109">
        <f t="shared" si="920"/>
        <v>0</v>
      </c>
      <c r="AD215" s="108">
        <f t="shared" si="1026"/>
        <v>803.48</v>
      </c>
      <c r="AE215" s="108">
        <f t="shared" si="1027"/>
        <v>60</v>
      </c>
      <c r="AF215" s="108">
        <f t="shared" si="921"/>
        <v>54.13</v>
      </c>
      <c r="AG215" s="108">
        <f t="shared" si="922"/>
        <v>201</v>
      </c>
      <c r="AH215" s="108">
        <f t="shared" si="923"/>
        <v>15</v>
      </c>
      <c r="AI215" s="127">
        <f t="shared" si="924"/>
        <v>67</v>
      </c>
      <c r="AJ215" s="108">
        <f t="shared" si="925"/>
        <v>5</v>
      </c>
      <c r="AM215" s="108">
        <f t="shared" si="926"/>
        <v>200.87</v>
      </c>
      <c r="AN215" s="108">
        <f t="shared" si="927"/>
        <v>14.61</v>
      </c>
      <c r="AQ215" s="108">
        <f t="shared" si="928"/>
        <v>401.87</v>
      </c>
      <c r="AR215" s="108">
        <f t="shared" si="929"/>
        <v>29.61</v>
      </c>
      <c r="AU215" s="108">
        <f t="shared" si="749"/>
        <v>200.87</v>
      </c>
      <c r="AV215" s="108">
        <f t="shared" si="995"/>
        <v>15</v>
      </c>
      <c r="AY215" s="108">
        <f t="shared" si="903"/>
        <v>669.74</v>
      </c>
      <c r="AZ215" s="108">
        <f t="shared" si="904"/>
        <v>49.61</v>
      </c>
      <c r="BA215" s="108">
        <f t="shared" si="905"/>
        <v>719.35</v>
      </c>
      <c r="BB215" s="139">
        <v>688.98</v>
      </c>
      <c r="BC215" s="139">
        <v>45.96</v>
      </c>
      <c r="BD215" s="139">
        <f t="shared" si="906"/>
        <v>-19.240000000000009</v>
      </c>
      <c r="BE215" s="139">
        <f t="shared" si="907"/>
        <v>3.6499999999999986</v>
      </c>
      <c r="BF215" s="139">
        <f t="shared" si="908"/>
        <v>137.80000000000001</v>
      </c>
      <c r="BG215" s="139">
        <f t="shared" si="909"/>
        <v>9.19</v>
      </c>
      <c r="BH215" s="143">
        <v>91.13</v>
      </c>
      <c r="BI215" s="108">
        <v>2.77</v>
      </c>
      <c r="BL215" s="108">
        <f t="shared" si="948"/>
        <v>760.87</v>
      </c>
      <c r="BM215" s="108">
        <f t="shared" si="951"/>
        <v>52.38</v>
      </c>
      <c r="BN215" s="108">
        <f t="shared" si="952"/>
        <v>813.25</v>
      </c>
      <c r="BO215" s="108">
        <v>757.62</v>
      </c>
      <c r="BP215" s="127">
        <v>45.96</v>
      </c>
      <c r="BQ215" s="108">
        <f t="shared" si="953"/>
        <v>3.25</v>
      </c>
      <c r="BR215" s="108">
        <f t="shared" si="954"/>
        <v>6.4200000000000017</v>
      </c>
      <c r="BS215" s="108">
        <f t="shared" si="955"/>
        <v>68.87</v>
      </c>
      <c r="BT215" s="108">
        <f t="shared" si="956"/>
        <v>4.18</v>
      </c>
      <c r="BU215" s="143">
        <f>BS215-BQ215+15.51</f>
        <v>81.13000000000001</v>
      </c>
      <c r="BV215" s="143">
        <v>0</v>
      </c>
      <c r="BW215" s="143"/>
      <c r="BX215" s="143"/>
      <c r="BY215" s="143">
        <v>3.64</v>
      </c>
      <c r="BZ215" s="143"/>
      <c r="CA215" s="108">
        <v>842</v>
      </c>
      <c r="CB215" s="108">
        <v>48.74</v>
      </c>
      <c r="CC215">
        <v>926.2</v>
      </c>
      <c r="CD215">
        <v>56.05</v>
      </c>
      <c r="CE215" s="189">
        <v>77</v>
      </c>
      <c r="CF215" s="189">
        <v>5</v>
      </c>
      <c r="CG215" s="189">
        <f t="shared" si="957"/>
        <v>210.5</v>
      </c>
      <c r="CH215" s="189">
        <f t="shared" si="958"/>
        <v>12.19</v>
      </c>
      <c r="CI215" s="150"/>
      <c r="CJ215" s="150"/>
      <c r="CK215" s="150">
        <v>235</v>
      </c>
      <c r="CL215" s="150">
        <v>0</v>
      </c>
      <c r="CM215" s="150"/>
      <c r="CN215" s="150"/>
      <c r="CO215" s="150">
        <v>952.53</v>
      </c>
      <c r="CP215" s="150">
        <v>95</v>
      </c>
      <c r="CQ215" s="150">
        <f t="shared" si="959"/>
        <v>940</v>
      </c>
      <c r="CR215" s="150">
        <f t="shared" si="960"/>
        <v>0</v>
      </c>
      <c r="CS215" s="150">
        <f t="shared" si="961"/>
        <v>940</v>
      </c>
      <c r="CT215" s="150">
        <f>IF(CP215&lt;CR215,CP215,CR215)+95</f>
        <v>95</v>
      </c>
      <c r="CU215" s="150">
        <f t="shared" si="1028"/>
        <v>940</v>
      </c>
      <c r="CV215" s="150">
        <f>IF(CR215&lt;CT215,CR215,CT215)+95</f>
        <v>95</v>
      </c>
      <c r="CW215" s="150">
        <f t="shared" si="963"/>
        <v>235</v>
      </c>
      <c r="CX215" s="150">
        <f t="shared" si="963"/>
        <v>23.75</v>
      </c>
      <c r="CY215" s="150"/>
      <c r="CZ215" s="150"/>
      <c r="DA215" s="150">
        <f t="shared" si="964"/>
        <v>547</v>
      </c>
      <c r="DB215" s="150">
        <f t="shared" si="965"/>
        <v>28.75</v>
      </c>
      <c r="DC215" s="150">
        <v>527.34</v>
      </c>
      <c r="DD215" s="150"/>
      <c r="DE215" s="150">
        <f t="shared" si="966"/>
        <v>19.659999999999968</v>
      </c>
      <c r="DF215" s="150">
        <f t="shared" si="967"/>
        <v>28.75</v>
      </c>
      <c r="DG215" s="150">
        <f t="shared" si="1030"/>
        <v>235</v>
      </c>
      <c r="DH215" s="150">
        <f t="shared" si="1030"/>
        <v>23.75</v>
      </c>
      <c r="DI215" s="150">
        <f>+DG215-DE215</f>
        <v>215.34000000000003</v>
      </c>
      <c r="DJ215" s="150">
        <f>+DH215-DF215+5</f>
        <v>0</v>
      </c>
      <c r="DK215" s="104">
        <f t="shared" si="839"/>
        <v>273.44999999999993</v>
      </c>
      <c r="DL215" s="104">
        <f t="shared" si="840"/>
        <v>66.25</v>
      </c>
      <c r="DM215" s="104">
        <f t="shared" si="949"/>
        <v>177.65999999999997</v>
      </c>
      <c r="DN215" s="104">
        <f t="shared" si="950"/>
        <v>66.25</v>
      </c>
      <c r="DO215" s="104">
        <v>1035.79</v>
      </c>
      <c r="DP215" s="104">
        <v>95</v>
      </c>
      <c r="DQ215" s="104">
        <v>1191</v>
      </c>
      <c r="DR215" s="104">
        <v>50</v>
      </c>
    </row>
    <row r="216" spans="1:129" ht="18.75">
      <c r="A216" s="13">
        <v>25</v>
      </c>
      <c r="B216" s="13"/>
      <c r="C216" s="14"/>
      <c r="D216" s="15" t="s">
        <v>350</v>
      </c>
      <c r="E216" s="16"/>
      <c r="F216" s="81">
        <v>559.93000000000006</v>
      </c>
      <c r="G216" s="81">
        <v>0</v>
      </c>
      <c r="H216" s="81">
        <v>637.96</v>
      </c>
      <c r="I216" s="17">
        <v>0</v>
      </c>
      <c r="J216" s="86">
        <v>732.17</v>
      </c>
      <c r="K216" s="87">
        <v>0</v>
      </c>
      <c r="L216" s="87">
        <v>0</v>
      </c>
      <c r="M216" s="87">
        <f t="shared" si="1031"/>
        <v>732.17</v>
      </c>
      <c r="N216" s="87">
        <v>0</v>
      </c>
      <c r="O216" s="87">
        <v>0</v>
      </c>
      <c r="P216" s="87">
        <v>0</v>
      </c>
      <c r="Q216" s="87">
        <f t="shared" si="1032"/>
        <v>0</v>
      </c>
      <c r="R216" s="87">
        <f t="shared" si="946"/>
        <v>732.17</v>
      </c>
      <c r="S216" s="87">
        <v>0</v>
      </c>
      <c r="V216" s="17">
        <f t="shared" si="1024"/>
        <v>675.15</v>
      </c>
      <c r="W216" s="17">
        <f t="shared" si="1025"/>
        <v>0</v>
      </c>
      <c r="X216" s="108">
        <f t="shared" si="917"/>
        <v>57.019999999999982</v>
      </c>
      <c r="Y216" s="108">
        <f t="shared" si="918"/>
        <v>0</v>
      </c>
      <c r="Z216" s="108">
        <v>675.15</v>
      </c>
      <c r="AA216" s="108"/>
      <c r="AB216" s="108">
        <f t="shared" si="919"/>
        <v>675.15</v>
      </c>
      <c r="AC216" s="109">
        <f t="shared" si="920"/>
        <v>0</v>
      </c>
      <c r="AD216" s="108">
        <f t="shared" ref="AD216" si="1033">IF(X216&gt;0,V216,R216)</f>
        <v>675.15</v>
      </c>
      <c r="AE216" s="108">
        <f t="shared" ref="AE216" si="1034">IF(Y216&gt;0,W216,S216)</f>
        <v>0</v>
      </c>
      <c r="AF216" s="108">
        <f t="shared" si="921"/>
        <v>0</v>
      </c>
      <c r="AG216" s="108">
        <f t="shared" si="922"/>
        <v>169</v>
      </c>
      <c r="AH216" s="108">
        <f t="shared" si="923"/>
        <v>0</v>
      </c>
      <c r="AI216" s="127">
        <f t="shared" si="924"/>
        <v>56</v>
      </c>
      <c r="AJ216" s="108">
        <f t="shared" si="925"/>
        <v>0</v>
      </c>
      <c r="AM216" s="108">
        <f t="shared" si="926"/>
        <v>168.79</v>
      </c>
      <c r="AN216" s="108">
        <f t="shared" si="927"/>
        <v>0</v>
      </c>
      <c r="AQ216" s="108">
        <f t="shared" si="928"/>
        <v>337.78999999999996</v>
      </c>
      <c r="AR216" s="108">
        <f t="shared" si="929"/>
        <v>0</v>
      </c>
      <c r="AU216" s="108">
        <f t="shared" si="749"/>
        <v>168.79</v>
      </c>
      <c r="AV216" s="108">
        <f t="shared" si="995"/>
        <v>0</v>
      </c>
      <c r="AY216" s="108">
        <f t="shared" si="903"/>
        <v>562.57999999999993</v>
      </c>
      <c r="AZ216" s="108">
        <f t="shared" si="904"/>
        <v>0</v>
      </c>
      <c r="BA216" s="108">
        <f t="shared" si="905"/>
        <v>562.57999999999993</v>
      </c>
      <c r="BB216" s="139">
        <v>555.35</v>
      </c>
      <c r="BD216" s="139">
        <f t="shared" si="906"/>
        <v>7.2299999999999045</v>
      </c>
      <c r="BE216" s="139">
        <f t="shared" si="907"/>
        <v>0</v>
      </c>
      <c r="BF216" s="139">
        <f t="shared" si="908"/>
        <v>111.07</v>
      </c>
      <c r="BG216" s="139">
        <f t="shared" si="909"/>
        <v>0</v>
      </c>
      <c r="BH216" s="108">
        <v>51.92</v>
      </c>
      <c r="BI216" s="108">
        <v>0</v>
      </c>
      <c r="BL216" s="108">
        <f t="shared" si="948"/>
        <v>614.49999999999989</v>
      </c>
      <c r="BM216" s="108">
        <f t="shared" si="951"/>
        <v>0</v>
      </c>
      <c r="BN216" s="108">
        <f t="shared" si="952"/>
        <v>614.49999999999989</v>
      </c>
      <c r="BO216" s="108">
        <v>613.58000000000004</v>
      </c>
      <c r="BP216" s="127"/>
      <c r="BQ216" s="108">
        <f t="shared" si="953"/>
        <v>0.91999999999984539</v>
      </c>
      <c r="BR216" s="108">
        <f t="shared" si="954"/>
        <v>0</v>
      </c>
      <c r="BS216" s="108">
        <f t="shared" si="955"/>
        <v>55.78</v>
      </c>
      <c r="BT216" s="108">
        <f t="shared" si="956"/>
        <v>0</v>
      </c>
      <c r="BU216" s="143">
        <v>39.35</v>
      </c>
      <c r="BV216" s="143">
        <f t="shared" ref="BV216" si="1035">BT216-BR216</f>
        <v>0</v>
      </c>
      <c r="BW216" s="143"/>
      <c r="BX216" s="143"/>
      <c r="BY216" s="143"/>
      <c r="BZ216" s="143"/>
      <c r="CA216" s="108">
        <v>653.84999999999991</v>
      </c>
      <c r="CB216" s="108">
        <v>0</v>
      </c>
      <c r="CC216">
        <v>719.24</v>
      </c>
      <c r="CD216">
        <v>0</v>
      </c>
      <c r="CE216" s="189">
        <v>60</v>
      </c>
      <c r="CF216" s="189">
        <v>0</v>
      </c>
      <c r="CG216" s="189">
        <f t="shared" si="957"/>
        <v>163.46</v>
      </c>
      <c r="CH216" s="189">
        <f t="shared" si="958"/>
        <v>0</v>
      </c>
      <c r="CI216" s="150"/>
      <c r="CJ216" s="150"/>
      <c r="CK216" s="150">
        <v>180</v>
      </c>
      <c r="CL216" s="150">
        <v>0</v>
      </c>
      <c r="CM216" s="150"/>
      <c r="CN216" s="150"/>
      <c r="CO216" s="150">
        <v>835.29</v>
      </c>
      <c r="CP216" s="150"/>
      <c r="CQ216" s="150">
        <f t="shared" si="959"/>
        <v>720</v>
      </c>
      <c r="CR216" s="150">
        <f t="shared" si="960"/>
        <v>0</v>
      </c>
      <c r="CS216" s="150">
        <f t="shared" si="961"/>
        <v>720</v>
      </c>
      <c r="CT216" s="150">
        <f t="shared" si="962"/>
        <v>0</v>
      </c>
      <c r="CU216" s="150">
        <f t="shared" si="1028"/>
        <v>720</v>
      </c>
      <c r="CV216" s="150">
        <f t="shared" ref="CV216" si="1036">IF(CR216&lt;CT216,CR216,CT216)</f>
        <v>0</v>
      </c>
      <c r="CW216" s="150">
        <f t="shared" si="963"/>
        <v>180</v>
      </c>
      <c r="CX216" s="150">
        <f t="shared" si="963"/>
        <v>0</v>
      </c>
      <c r="CY216" s="150"/>
      <c r="CZ216" s="150"/>
      <c r="DA216" s="150">
        <f t="shared" si="964"/>
        <v>420</v>
      </c>
      <c r="DB216" s="150">
        <f t="shared" si="965"/>
        <v>0</v>
      </c>
      <c r="DC216" s="150">
        <v>410.84</v>
      </c>
      <c r="DD216" s="150"/>
      <c r="DE216" s="150">
        <f t="shared" si="966"/>
        <v>9.160000000000025</v>
      </c>
      <c r="DF216" s="150">
        <f t="shared" si="967"/>
        <v>0</v>
      </c>
      <c r="DG216" s="150">
        <f t="shared" si="1030"/>
        <v>156.54</v>
      </c>
      <c r="DH216" s="150">
        <f t="shared" si="1030"/>
        <v>0</v>
      </c>
      <c r="DI216" s="150">
        <f>+DG216-DE216</f>
        <v>147.37999999999997</v>
      </c>
      <c r="DJ216" s="150">
        <f>+DH216-DF216</f>
        <v>0</v>
      </c>
      <c r="DK216" s="104">
        <f t="shared" si="839"/>
        <v>58.77000000000001</v>
      </c>
      <c r="DL216" s="104">
        <f t="shared" si="840"/>
        <v>0</v>
      </c>
      <c r="DM216" s="104">
        <f t="shared" si="949"/>
        <v>152.62000000000003</v>
      </c>
      <c r="DN216" s="104">
        <f t="shared" si="950"/>
        <v>0</v>
      </c>
      <c r="DO216" s="104">
        <v>626.15</v>
      </c>
      <c r="DQ216" s="104">
        <v>822.17</v>
      </c>
    </row>
    <row r="217" spans="1:129" ht="18.75">
      <c r="A217" s="18"/>
      <c r="B217" s="18" t="s">
        <v>351</v>
      </c>
      <c r="C217" s="19" t="s">
        <v>94</v>
      </c>
      <c r="D217" s="20" t="s">
        <v>349</v>
      </c>
      <c r="E217" s="21" t="s">
        <v>352</v>
      </c>
      <c r="F217" s="22">
        <v>1319.15</v>
      </c>
      <c r="G217" s="22">
        <v>65.33</v>
      </c>
      <c r="H217" s="22">
        <v>1397.18</v>
      </c>
      <c r="I217" s="22">
        <v>65.33</v>
      </c>
      <c r="J217" s="88">
        <f t="shared" ref="J217:AA217" si="1037">+J215+J216</f>
        <v>1577.06</v>
      </c>
      <c r="K217" s="88">
        <f t="shared" si="1037"/>
        <v>0</v>
      </c>
      <c r="L217" s="88">
        <f t="shared" si="1037"/>
        <v>0</v>
      </c>
      <c r="M217" s="88">
        <f t="shared" si="1037"/>
        <v>1577.06</v>
      </c>
      <c r="N217" s="88">
        <f t="shared" si="1037"/>
        <v>0</v>
      </c>
      <c r="O217" s="88">
        <f t="shared" si="1037"/>
        <v>0</v>
      </c>
      <c r="P217" s="88">
        <f t="shared" si="1037"/>
        <v>0</v>
      </c>
      <c r="Q217" s="88">
        <f t="shared" si="1037"/>
        <v>0</v>
      </c>
      <c r="R217" s="88">
        <f t="shared" si="1037"/>
        <v>1577.06</v>
      </c>
      <c r="S217" s="88">
        <f t="shared" si="1037"/>
        <v>60</v>
      </c>
      <c r="T217" s="88">
        <f t="shared" si="1037"/>
        <v>0</v>
      </c>
      <c r="U217" s="88">
        <f t="shared" si="1037"/>
        <v>0</v>
      </c>
      <c r="V217" s="88">
        <f t="shared" si="1037"/>
        <v>1478.63</v>
      </c>
      <c r="W217" s="88">
        <f t="shared" si="1037"/>
        <v>67.47</v>
      </c>
      <c r="X217" s="88">
        <f t="shared" si="1037"/>
        <v>98.42999999999995</v>
      </c>
      <c r="Y217" s="88">
        <f t="shared" si="1037"/>
        <v>-7.4699999999999989</v>
      </c>
      <c r="Z217" s="88">
        <f t="shared" si="1037"/>
        <v>1478.63</v>
      </c>
      <c r="AA217" s="88">
        <f t="shared" si="1037"/>
        <v>0</v>
      </c>
      <c r="AB217" s="22">
        <f t="shared" si="919"/>
        <v>1478.63</v>
      </c>
      <c r="AC217" s="109">
        <f t="shared" si="920"/>
        <v>0</v>
      </c>
      <c r="AD217" s="22">
        <f t="shared" ref="AD217:CP217" si="1038">+AD215+AD216</f>
        <v>1478.63</v>
      </c>
      <c r="AE217" s="22">
        <f t="shared" si="1038"/>
        <v>60</v>
      </c>
      <c r="AF217" s="22">
        <f t="shared" si="1038"/>
        <v>54.13</v>
      </c>
      <c r="AG217" s="22">
        <f t="shared" si="1038"/>
        <v>370</v>
      </c>
      <c r="AH217" s="22">
        <f t="shared" si="1038"/>
        <v>15</v>
      </c>
      <c r="AI217" s="118">
        <f t="shared" si="1038"/>
        <v>123</v>
      </c>
      <c r="AJ217" s="22">
        <f t="shared" si="1038"/>
        <v>5</v>
      </c>
      <c r="AK217" s="22">
        <f t="shared" si="1038"/>
        <v>0</v>
      </c>
      <c r="AL217" s="22">
        <f t="shared" si="1038"/>
        <v>0</v>
      </c>
      <c r="AM217" s="22">
        <f t="shared" si="1038"/>
        <v>369.65999999999997</v>
      </c>
      <c r="AN217" s="22">
        <f t="shared" si="1038"/>
        <v>14.61</v>
      </c>
      <c r="AO217" s="22">
        <f t="shared" si="1038"/>
        <v>0</v>
      </c>
      <c r="AP217" s="22">
        <f t="shared" si="1038"/>
        <v>0</v>
      </c>
      <c r="AQ217" s="22">
        <f t="shared" si="1038"/>
        <v>739.66</v>
      </c>
      <c r="AR217" s="22">
        <f t="shared" si="1038"/>
        <v>29.61</v>
      </c>
      <c r="AS217" s="22">
        <f t="shared" si="1038"/>
        <v>0</v>
      </c>
      <c r="AT217" s="22">
        <f t="shared" si="1038"/>
        <v>0</v>
      </c>
      <c r="AU217" s="22">
        <f t="shared" si="1038"/>
        <v>369.65999999999997</v>
      </c>
      <c r="AV217" s="22">
        <f t="shared" si="1038"/>
        <v>15</v>
      </c>
      <c r="AW217" s="22">
        <f t="shared" si="1038"/>
        <v>0</v>
      </c>
      <c r="AX217" s="22">
        <f t="shared" si="1038"/>
        <v>0</v>
      </c>
      <c r="AY217" s="22">
        <f t="shared" si="1038"/>
        <v>1232.32</v>
      </c>
      <c r="AZ217" s="22">
        <f t="shared" si="1038"/>
        <v>49.61</v>
      </c>
      <c r="BA217" s="22">
        <f t="shared" si="1038"/>
        <v>1281.9299999999998</v>
      </c>
      <c r="BB217" s="22">
        <f t="shared" si="1038"/>
        <v>1244.33</v>
      </c>
      <c r="BC217" s="22">
        <f t="shared" si="1038"/>
        <v>45.96</v>
      </c>
      <c r="BD217" s="22">
        <f t="shared" si="1038"/>
        <v>-12.010000000000105</v>
      </c>
      <c r="BE217" s="22">
        <f t="shared" si="1038"/>
        <v>3.6499999999999986</v>
      </c>
      <c r="BF217" s="22">
        <f t="shared" si="1038"/>
        <v>248.87</v>
      </c>
      <c r="BG217" s="118">
        <f t="shared" si="1038"/>
        <v>9.19</v>
      </c>
      <c r="BH217" s="118">
        <f t="shared" si="1038"/>
        <v>143.05000000000001</v>
      </c>
      <c r="BI217" s="118">
        <f t="shared" si="1038"/>
        <v>2.77</v>
      </c>
      <c r="BJ217" s="118">
        <f t="shared" si="1038"/>
        <v>0</v>
      </c>
      <c r="BK217" s="118">
        <f t="shared" si="1038"/>
        <v>0</v>
      </c>
      <c r="BL217" s="118">
        <f t="shared" si="1038"/>
        <v>1375.37</v>
      </c>
      <c r="BM217" s="118">
        <f t="shared" si="1038"/>
        <v>52.38</v>
      </c>
      <c r="BN217" s="118">
        <f t="shared" si="1038"/>
        <v>1427.75</v>
      </c>
      <c r="BO217" s="118">
        <f t="shared" si="1038"/>
        <v>1371.2</v>
      </c>
      <c r="BP217" s="118">
        <f t="shared" si="1038"/>
        <v>45.96</v>
      </c>
      <c r="BQ217" s="22">
        <f t="shared" si="1038"/>
        <v>4.1699999999998454</v>
      </c>
      <c r="BR217" s="22">
        <f t="shared" si="1038"/>
        <v>6.4200000000000017</v>
      </c>
      <c r="BS217" s="22">
        <f t="shared" si="1038"/>
        <v>124.65</v>
      </c>
      <c r="BT217" s="22">
        <f t="shared" si="1038"/>
        <v>4.18</v>
      </c>
      <c r="BU217" s="22">
        <f t="shared" si="1038"/>
        <v>120.48000000000002</v>
      </c>
      <c r="BV217" s="22">
        <f t="shared" si="1038"/>
        <v>0</v>
      </c>
      <c r="BW217" s="22">
        <f t="shared" si="1038"/>
        <v>0</v>
      </c>
      <c r="BX217" s="22">
        <f t="shared" si="1038"/>
        <v>0</v>
      </c>
      <c r="BY217" s="22">
        <f t="shared" si="1038"/>
        <v>3.64</v>
      </c>
      <c r="BZ217" s="22">
        <f t="shared" si="1038"/>
        <v>0</v>
      </c>
      <c r="CA217" s="22">
        <f t="shared" si="1038"/>
        <v>1495.85</v>
      </c>
      <c r="CB217" s="22">
        <f t="shared" si="1038"/>
        <v>48.74</v>
      </c>
      <c r="CC217" s="22">
        <f t="shared" si="1038"/>
        <v>1645.44</v>
      </c>
      <c r="CD217" s="118">
        <f t="shared" si="1038"/>
        <v>56.05</v>
      </c>
      <c r="CE217" s="190">
        <f t="shared" si="1038"/>
        <v>137</v>
      </c>
      <c r="CF217" s="190">
        <f t="shared" si="1038"/>
        <v>5</v>
      </c>
      <c r="CG217" s="190">
        <f t="shared" si="1038"/>
        <v>373.96000000000004</v>
      </c>
      <c r="CH217" s="190">
        <f t="shared" si="1038"/>
        <v>12.19</v>
      </c>
      <c r="CI217" s="190">
        <f t="shared" si="1038"/>
        <v>0</v>
      </c>
      <c r="CJ217" s="190">
        <f t="shared" si="1038"/>
        <v>0</v>
      </c>
      <c r="CK217" s="190">
        <f t="shared" si="1038"/>
        <v>415</v>
      </c>
      <c r="CL217" s="190">
        <f t="shared" si="1038"/>
        <v>0</v>
      </c>
      <c r="CM217" s="190">
        <f t="shared" si="1038"/>
        <v>0</v>
      </c>
      <c r="CN217" s="190">
        <f t="shared" si="1038"/>
        <v>0</v>
      </c>
      <c r="CO217" s="190">
        <f t="shared" si="1038"/>
        <v>1787.82</v>
      </c>
      <c r="CP217" s="190">
        <f t="shared" si="1038"/>
        <v>95</v>
      </c>
      <c r="CQ217" s="190">
        <f t="shared" ref="CQ217:DR217" si="1039">+CQ215+CQ216</f>
        <v>1660</v>
      </c>
      <c r="CR217" s="190">
        <f t="shared" si="1039"/>
        <v>0</v>
      </c>
      <c r="CS217" s="190">
        <f t="shared" si="1039"/>
        <v>1660</v>
      </c>
      <c r="CT217" s="190">
        <f t="shared" si="1039"/>
        <v>95</v>
      </c>
      <c r="CU217" s="190">
        <f t="shared" si="1039"/>
        <v>1660</v>
      </c>
      <c r="CV217" s="190">
        <f t="shared" si="1039"/>
        <v>95</v>
      </c>
      <c r="CW217" s="190">
        <f t="shared" si="1039"/>
        <v>415</v>
      </c>
      <c r="CX217" s="190">
        <f t="shared" si="1039"/>
        <v>23.75</v>
      </c>
      <c r="CY217" s="190">
        <f t="shared" si="1039"/>
        <v>0</v>
      </c>
      <c r="CZ217" s="190">
        <f t="shared" si="1039"/>
        <v>0</v>
      </c>
      <c r="DA217" s="190">
        <f t="shared" si="1039"/>
        <v>967</v>
      </c>
      <c r="DB217" s="190">
        <f t="shared" si="1039"/>
        <v>28.75</v>
      </c>
      <c r="DC217" s="190">
        <f t="shared" si="1039"/>
        <v>938.18000000000006</v>
      </c>
      <c r="DD217" s="190">
        <f t="shared" si="1039"/>
        <v>0</v>
      </c>
      <c r="DE217" s="190">
        <f t="shared" si="1039"/>
        <v>28.819999999999993</v>
      </c>
      <c r="DF217" s="190">
        <f t="shared" si="1039"/>
        <v>28.75</v>
      </c>
      <c r="DG217" s="190">
        <f t="shared" si="1039"/>
        <v>391.53999999999996</v>
      </c>
      <c r="DH217" s="190">
        <f t="shared" si="1039"/>
        <v>23.75</v>
      </c>
      <c r="DI217" s="190">
        <f t="shared" si="1039"/>
        <v>362.72</v>
      </c>
      <c r="DJ217" s="190">
        <f t="shared" si="1039"/>
        <v>0</v>
      </c>
      <c r="DK217" s="104">
        <f t="shared" si="839"/>
        <v>332.22</v>
      </c>
      <c r="DL217" s="104">
        <f t="shared" si="840"/>
        <v>66.25</v>
      </c>
      <c r="DM217" s="104">
        <f t="shared" si="949"/>
        <v>330.28</v>
      </c>
      <c r="DN217" s="104">
        <f t="shared" si="950"/>
        <v>66.25</v>
      </c>
      <c r="DO217" s="22">
        <f t="shared" si="1039"/>
        <v>1661.94</v>
      </c>
      <c r="DP217" s="22">
        <f t="shared" si="1039"/>
        <v>95</v>
      </c>
      <c r="DQ217" s="22">
        <f t="shared" si="1039"/>
        <v>2013.17</v>
      </c>
      <c r="DR217" s="22">
        <f t="shared" si="1039"/>
        <v>50</v>
      </c>
      <c r="DS217" s="22">
        <f t="shared" ref="DS217:DW217" si="1040">+DS215+DS216</f>
        <v>0</v>
      </c>
      <c r="DT217" s="22">
        <f t="shared" si="1040"/>
        <v>0</v>
      </c>
      <c r="DU217" s="22">
        <f t="shared" si="1040"/>
        <v>0</v>
      </c>
      <c r="DV217" s="22">
        <f t="shared" si="1040"/>
        <v>0</v>
      </c>
      <c r="DW217" s="22">
        <f t="shared" si="1040"/>
        <v>0</v>
      </c>
    </row>
    <row r="218" spans="1:129" ht="18.75">
      <c r="A218" s="43">
        <v>26</v>
      </c>
      <c r="B218" s="43"/>
      <c r="C218" s="44"/>
      <c r="D218" s="120" t="s">
        <v>353</v>
      </c>
      <c r="E218" s="16"/>
      <c r="F218" s="81">
        <v>1327.41</v>
      </c>
      <c r="G218" s="81">
        <v>209.87000000000003</v>
      </c>
      <c r="H218" s="81">
        <v>1356</v>
      </c>
      <c r="I218" s="57">
        <v>264.87</v>
      </c>
      <c r="J218" s="86">
        <v>1250</v>
      </c>
      <c r="K218" s="89">
        <v>85</v>
      </c>
      <c r="L218" s="89">
        <v>0</v>
      </c>
      <c r="M218" s="87">
        <f t="shared" ref="M218:M220" si="1041">J218+K218+L218</f>
        <v>1335</v>
      </c>
      <c r="N218" s="87">
        <v>0</v>
      </c>
      <c r="O218" s="87">
        <v>0</v>
      </c>
      <c r="P218" s="87">
        <v>0</v>
      </c>
      <c r="Q218" s="87">
        <f t="shared" ref="Q218:Q220" si="1042">N218+O218+P218</f>
        <v>0</v>
      </c>
      <c r="R218" s="87">
        <f t="shared" si="946"/>
        <v>1335</v>
      </c>
      <c r="S218" s="87">
        <v>350</v>
      </c>
      <c r="V218" s="17">
        <f t="shared" ref="V218" si="1043">ROUND(H218*1.0583,2)</f>
        <v>1435.05</v>
      </c>
      <c r="W218" s="17">
        <f t="shared" ref="W218" si="1044">ROUND(I218*1.0327,2)</f>
        <v>273.52999999999997</v>
      </c>
      <c r="X218" s="108">
        <f t="shared" si="917"/>
        <v>-100.04999999999995</v>
      </c>
      <c r="Y218" s="108">
        <f t="shared" si="918"/>
        <v>76.470000000000027</v>
      </c>
      <c r="Z218" s="108">
        <v>1335</v>
      </c>
      <c r="AA218" s="108"/>
      <c r="AB218" s="108">
        <f t="shared" si="919"/>
        <v>1335</v>
      </c>
      <c r="AC218" s="109">
        <f t="shared" si="920"/>
        <v>0</v>
      </c>
      <c r="AD218" s="108">
        <f t="shared" ref="AD218" si="1045">IF(X218&gt;0,V218,R218)</f>
        <v>1335</v>
      </c>
      <c r="AE218" s="109">
        <f t="shared" ref="AE218" si="1046">IF(Y218&gt;0,W218,S218)</f>
        <v>273.52999999999997</v>
      </c>
      <c r="AF218" s="108">
        <f t="shared" si="921"/>
        <v>315.77</v>
      </c>
      <c r="AG218" s="108">
        <f t="shared" si="922"/>
        <v>334</v>
      </c>
      <c r="AH218" s="108">
        <f t="shared" si="923"/>
        <v>68</v>
      </c>
      <c r="AI218" s="127">
        <f t="shared" si="924"/>
        <v>111</v>
      </c>
      <c r="AJ218" s="108">
        <f t="shared" si="925"/>
        <v>23</v>
      </c>
      <c r="AL218" s="143">
        <f>33.18+91.82</f>
        <v>125</v>
      </c>
      <c r="AM218" s="108">
        <f t="shared" si="926"/>
        <v>333.75</v>
      </c>
      <c r="AN218" s="108">
        <f>ROUND(AE218*24.35%,2)-16.6</f>
        <v>49.999999999999993</v>
      </c>
      <c r="AQ218" s="108">
        <f t="shared" si="928"/>
        <v>667.75</v>
      </c>
      <c r="AR218" s="108">
        <f t="shared" si="929"/>
        <v>243</v>
      </c>
      <c r="AS218" s="116"/>
      <c r="AT218" s="116">
        <v>62</v>
      </c>
      <c r="AU218" s="116">
        <f t="shared" si="749"/>
        <v>333.75</v>
      </c>
      <c r="AV218" s="116">
        <f t="shared" si="995"/>
        <v>68.38</v>
      </c>
      <c r="AW218" s="116"/>
      <c r="AX218" s="143">
        <v>13.62</v>
      </c>
      <c r="AY218" s="108">
        <f t="shared" si="903"/>
        <v>1112.5</v>
      </c>
      <c r="AZ218" s="108">
        <f t="shared" si="904"/>
        <v>410</v>
      </c>
      <c r="BA218" s="108">
        <f t="shared" si="905"/>
        <v>1522.5</v>
      </c>
      <c r="BB218" s="139">
        <v>1050.58</v>
      </c>
      <c r="BC218" s="139">
        <v>407.16</v>
      </c>
      <c r="BD218" s="139">
        <f t="shared" si="906"/>
        <v>61.920000000000073</v>
      </c>
      <c r="BE218" s="139">
        <f t="shared" si="907"/>
        <v>2.839999999999975</v>
      </c>
      <c r="BF218" s="139">
        <f t="shared" si="908"/>
        <v>210.12</v>
      </c>
      <c r="BG218" s="139">
        <f t="shared" si="909"/>
        <v>81.430000000000007</v>
      </c>
      <c r="BH218" s="108">
        <v>74.099999999999994</v>
      </c>
      <c r="BI218" s="108">
        <v>35</v>
      </c>
      <c r="BL218" s="108">
        <f t="shared" si="948"/>
        <v>1186.5999999999999</v>
      </c>
      <c r="BM218" s="108">
        <f t="shared" si="951"/>
        <v>445</v>
      </c>
      <c r="BN218" s="108">
        <f t="shared" si="952"/>
        <v>1631.6</v>
      </c>
      <c r="BO218" s="108">
        <v>1158.6099999999999</v>
      </c>
      <c r="BP218" s="127">
        <v>420.75</v>
      </c>
      <c r="BQ218" s="108">
        <f t="shared" si="953"/>
        <v>27.990000000000009</v>
      </c>
      <c r="BR218" s="108">
        <f t="shared" si="954"/>
        <v>24.25</v>
      </c>
      <c r="BS218" s="108">
        <f t="shared" si="955"/>
        <v>105.33</v>
      </c>
      <c r="BT218" s="108">
        <f t="shared" si="956"/>
        <v>38.25</v>
      </c>
      <c r="BU218" s="108">
        <f t="shared" ref="BU218:BU219" si="1047">ROUND(BS218-BQ218,2)</f>
        <v>77.34</v>
      </c>
      <c r="BV218" s="108">
        <f>ROUND(BT218-BR218,2)</f>
        <v>14</v>
      </c>
      <c r="BW218" s="108">
        <f>13.79+4</f>
        <v>17.79</v>
      </c>
      <c r="CA218" s="108">
        <v>1281.7299999999998</v>
      </c>
      <c r="CB218" s="108">
        <v>459</v>
      </c>
      <c r="CC218">
        <v>1409.9</v>
      </c>
      <c r="CD218">
        <v>527.85</v>
      </c>
      <c r="CE218" s="189">
        <v>117</v>
      </c>
      <c r="CF218" s="189">
        <v>44</v>
      </c>
      <c r="CG218" s="189">
        <f t="shared" si="957"/>
        <v>320.43</v>
      </c>
      <c r="CH218" s="189">
        <f t="shared" si="958"/>
        <v>114.75</v>
      </c>
      <c r="CI218" s="150"/>
      <c r="CJ218" s="150"/>
      <c r="CK218" s="150">
        <v>328</v>
      </c>
      <c r="CL218" s="150">
        <v>12</v>
      </c>
      <c r="CM218" s="150"/>
      <c r="CN218" s="150"/>
      <c r="CO218" s="150">
        <v>1420</v>
      </c>
      <c r="CP218" s="150">
        <v>250</v>
      </c>
      <c r="CQ218" s="150">
        <f t="shared" si="959"/>
        <v>1312</v>
      </c>
      <c r="CR218" s="150">
        <f t="shared" si="960"/>
        <v>48</v>
      </c>
      <c r="CS218" s="150">
        <f t="shared" si="961"/>
        <v>1312</v>
      </c>
      <c r="CT218" s="150">
        <f>IF(CP218&lt;CR218,CP218,CR218)+272</f>
        <v>320</v>
      </c>
      <c r="CU218" s="150">
        <v>1670</v>
      </c>
      <c r="CV218" s="150">
        <f>IF(CR218&lt;CT218,CR218,CT218)+272</f>
        <v>320</v>
      </c>
      <c r="CW218" s="150">
        <f t="shared" si="963"/>
        <v>417.5</v>
      </c>
      <c r="CX218" s="150">
        <v>40</v>
      </c>
      <c r="CY218" s="150"/>
      <c r="CZ218" s="150">
        <v>3</v>
      </c>
      <c r="DA218" s="150">
        <f t="shared" si="964"/>
        <v>862.5</v>
      </c>
      <c r="DB218" s="150">
        <f t="shared" si="965"/>
        <v>99</v>
      </c>
      <c r="DC218" s="150">
        <v>779.37</v>
      </c>
      <c r="DD218" s="150">
        <v>98.61</v>
      </c>
      <c r="DE218" s="150">
        <f t="shared" si="966"/>
        <v>83.13</v>
      </c>
      <c r="DF218" s="150">
        <f t="shared" si="967"/>
        <v>0.39000000000000057</v>
      </c>
      <c r="DG218" s="150">
        <f t="shared" ref="DG218:DH220" si="1048">ROUND(0.25*(MIN(CU218,DO218)),2)</f>
        <v>350</v>
      </c>
      <c r="DH218" s="150">
        <f t="shared" si="1048"/>
        <v>80</v>
      </c>
      <c r="DI218" s="150">
        <f t="shared" ref="DI218:DJ220" si="1049">+DG218-DE218</f>
        <v>266.87</v>
      </c>
      <c r="DJ218" s="150">
        <f t="shared" si="1049"/>
        <v>79.61</v>
      </c>
      <c r="DK218" s="104">
        <f t="shared" si="839"/>
        <v>270.63</v>
      </c>
      <c r="DL218" s="104">
        <f t="shared" si="840"/>
        <v>151.38999999999999</v>
      </c>
      <c r="DM218" s="104">
        <f t="shared" si="949"/>
        <v>540.63</v>
      </c>
      <c r="DN218" s="104">
        <f t="shared" si="950"/>
        <v>141.38999999999999</v>
      </c>
      <c r="DO218" s="104">
        <v>1400</v>
      </c>
      <c r="DP218" s="104">
        <v>330</v>
      </c>
      <c r="DQ218" s="104">
        <v>1450</v>
      </c>
      <c r="DR218" s="104">
        <v>275</v>
      </c>
    </row>
    <row r="219" spans="1:129" ht="37.5">
      <c r="A219" s="13">
        <v>27</v>
      </c>
      <c r="B219" s="13"/>
      <c r="C219" s="14"/>
      <c r="D219" s="15" t="s">
        <v>354</v>
      </c>
      <c r="E219" s="16"/>
      <c r="F219" s="81">
        <v>1689.9</v>
      </c>
      <c r="G219" s="81">
        <v>0</v>
      </c>
      <c r="H219" s="81">
        <v>1796.96</v>
      </c>
      <c r="I219" s="17">
        <v>0</v>
      </c>
      <c r="J219" s="86">
        <v>1953.47</v>
      </c>
      <c r="K219" s="89">
        <v>0</v>
      </c>
      <c r="L219" s="89">
        <v>0</v>
      </c>
      <c r="M219" s="87">
        <f t="shared" si="1041"/>
        <v>1953.47</v>
      </c>
      <c r="N219" s="87">
        <v>0</v>
      </c>
      <c r="O219" s="87">
        <v>0</v>
      </c>
      <c r="P219" s="87">
        <v>0</v>
      </c>
      <c r="Q219" s="87">
        <f t="shared" si="1042"/>
        <v>0</v>
      </c>
      <c r="R219" s="87">
        <f t="shared" si="946"/>
        <v>1953.47</v>
      </c>
      <c r="S219" s="87">
        <v>0</v>
      </c>
      <c r="V219" s="17">
        <f t="shared" ref="V219:V220" si="1050">ROUND(H219*1.0583,2)</f>
        <v>1901.72</v>
      </c>
      <c r="W219" s="17">
        <f t="shared" ref="W219:W220" si="1051">ROUND(I219*1.0327,2)</f>
        <v>0</v>
      </c>
      <c r="X219" s="108">
        <f t="shared" si="917"/>
        <v>51.75</v>
      </c>
      <c r="Y219" s="108">
        <f t="shared" si="918"/>
        <v>0</v>
      </c>
      <c r="Z219" s="108">
        <v>1901.72</v>
      </c>
      <c r="AA219" s="108"/>
      <c r="AB219" s="108">
        <f t="shared" si="919"/>
        <v>1901.72</v>
      </c>
      <c r="AC219" s="109">
        <f t="shared" si="920"/>
        <v>0</v>
      </c>
      <c r="AD219" s="108">
        <f t="shared" ref="AD219:AD220" si="1052">IF(X219&gt;0,V219,R219)</f>
        <v>1901.72</v>
      </c>
      <c r="AE219" s="108">
        <f t="shared" ref="AE219:AE220" si="1053">IF(Y219&gt;0,W219,S219)</f>
        <v>0</v>
      </c>
      <c r="AF219" s="108">
        <f t="shared" si="921"/>
        <v>0</v>
      </c>
      <c r="AG219" s="108">
        <f t="shared" si="922"/>
        <v>475</v>
      </c>
      <c r="AH219" s="108">
        <f t="shared" si="923"/>
        <v>0</v>
      </c>
      <c r="AI219" s="127">
        <f t="shared" si="924"/>
        <v>158</v>
      </c>
      <c r="AJ219" s="108">
        <f t="shared" si="925"/>
        <v>0</v>
      </c>
      <c r="AM219" s="108">
        <f t="shared" si="926"/>
        <v>475.43</v>
      </c>
      <c r="AN219" s="108">
        <f t="shared" si="927"/>
        <v>0</v>
      </c>
      <c r="AQ219" s="108">
        <f t="shared" si="928"/>
        <v>950.43000000000006</v>
      </c>
      <c r="AR219" s="108">
        <f t="shared" si="929"/>
        <v>0</v>
      </c>
      <c r="AU219" s="108">
        <f t="shared" ref="AU219:AU282" si="1054">ROUND(AD219*25%,2)</f>
        <v>475.43</v>
      </c>
      <c r="AV219" s="108">
        <f t="shared" si="995"/>
        <v>0</v>
      </c>
      <c r="AY219" s="108">
        <f t="shared" si="903"/>
        <v>1583.8600000000001</v>
      </c>
      <c r="AZ219" s="108">
        <f t="shared" si="904"/>
        <v>0</v>
      </c>
      <c r="BA219" s="108">
        <f t="shared" si="905"/>
        <v>1583.8600000000001</v>
      </c>
      <c r="BB219" s="139">
        <v>1583.86</v>
      </c>
      <c r="BD219" s="139">
        <f t="shared" si="906"/>
        <v>0</v>
      </c>
      <c r="BE219" s="139">
        <f t="shared" si="907"/>
        <v>0</v>
      </c>
      <c r="BF219" s="139">
        <f t="shared" si="908"/>
        <v>316.77</v>
      </c>
      <c r="BG219" s="139">
        <f t="shared" si="909"/>
        <v>0</v>
      </c>
      <c r="BH219" s="108">
        <v>158.38999999999999</v>
      </c>
      <c r="BI219" s="108">
        <v>0</v>
      </c>
      <c r="BL219" s="108">
        <f t="shared" si="948"/>
        <v>1742.25</v>
      </c>
      <c r="BM219" s="108">
        <f t="shared" si="951"/>
        <v>0</v>
      </c>
      <c r="BN219" s="108">
        <f t="shared" si="952"/>
        <v>1742.25</v>
      </c>
      <c r="BO219" s="108">
        <v>1583.86</v>
      </c>
      <c r="BP219" s="127"/>
      <c r="BQ219" s="108">
        <f t="shared" si="953"/>
        <v>158.3900000000001</v>
      </c>
      <c r="BR219" s="108">
        <f t="shared" si="954"/>
        <v>0</v>
      </c>
      <c r="BS219" s="108">
        <f t="shared" si="955"/>
        <v>143.99</v>
      </c>
      <c r="BT219" s="108">
        <f t="shared" si="956"/>
        <v>0</v>
      </c>
      <c r="BU219" s="108">
        <f t="shared" si="1047"/>
        <v>-14.4</v>
      </c>
      <c r="BV219" s="108">
        <f t="shared" ref="BV219:BV220" si="1055">ROUND(BT219-BR219,2)</f>
        <v>0</v>
      </c>
      <c r="BW219" s="109">
        <f>388.88+14.4</f>
        <v>403.28</v>
      </c>
      <c r="CA219" s="108">
        <v>2131.13</v>
      </c>
      <c r="CB219" s="108">
        <v>0</v>
      </c>
      <c r="CC219">
        <v>2344.2399999999998</v>
      </c>
      <c r="CD219">
        <v>0</v>
      </c>
      <c r="CE219" s="189">
        <v>195</v>
      </c>
      <c r="CF219" s="189">
        <v>0</v>
      </c>
      <c r="CG219" s="189">
        <f t="shared" si="957"/>
        <v>532.78</v>
      </c>
      <c r="CH219" s="189">
        <f t="shared" si="958"/>
        <v>0</v>
      </c>
      <c r="CI219" s="150"/>
      <c r="CJ219" s="150"/>
      <c r="CK219" s="150">
        <f>685-70</f>
        <v>615</v>
      </c>
      <c r="CL219" s="150">
        <v>0</v>
      </c>
      <c r="CM219" s="150"/>
      <c r="CN219" s="150"/>
      <c r="CO219" s="150">
        <v>2131.13</v>
      </c>
      <c r="CP219" s="150"/>
      <c r="CQ219" s="150">
        <f t="shared" si="959"/>
        <v>2460</v>
      </c>
      <c r="CR219" s="150">
        <f t="shared" si="960"/>
        <v>0</v>
      </c>
      <c r="CS219" s="150">
        <f t="shared" si="961"/>
        <v>2131.13</v>
      </c>
      <c r="CT219" s="150">
        <f t="shared" si="962"/>
        <v>0</v>
      </c>
      <c r="CU219" s="150">
        <v>2740</v>
      </c>
      <c r="CV219" s="150">
        <f t="shared" si="962"/>
        <v>0</v>
      </c>
      <c r="CW219" s="150">
        <f t="shared" si="963"/>
        <v>685</v>
      </c>
      <c r="CX219" s="150">
        <f t="shared" si="963"/>
        <v>0</v>
      </c>
      <c r="CY219" s="150"/>
      <c r="CZ219" s="150"/>
      <c r="DA219" s="150">
        <f t="shared" si="964"/>
        <v>1495</v>
      </c>
      <c r="DB219" s="150">
        <f t="shared" si="965"/>
        <v>0</v>
      </c>
      <c r="DC219" s="150">
        <v>1495</v>
      </c>
      <c r="DD219" s="150">
        <v>0</v>
      </c>
      <c r="DE219" s="150">
        <f t="shared" si="966"/>
        <v>0</v>
      </c>
      <c r="DF219" s="150">
        <f t="shared" si="967"/>
        <v>0</v>
      </c>
      <c r="DG219" s="150">
        <f t="shared" si="1048"/>
        <v>685</v>
      </c>
      <c r="DH219" s="150">
        <f t="shared" si="1048"/>
        <v>0</v>
      </c>
      <c r="DI219" s="150">
        <f t="shared" si="1049"/>
        <v>685</v>
      </c>
      <c r="DJ219" s="150">
        <f t="shared" si="1049"/>
        <v>0</v>
      </c>
      <c r="DK219" s="104">
        <f t="shared" si="839"/>
        <v>560</v>
      </c>
      <c r="DL219" s="104">
        <f t="shared" si="840"/>
        <v>0</v>
      </c>
      <c r="DM219" s="104">
        <f t="shared" si="949"/>
        <v>560</v>
      </c>
      <c r="DN219" s="104">
        <f t="shared" si="950"/>
        <v>0</v>
      </c>
      <c r="DO219" s="104">
        <v>2740</v>
      </c>
      <c r="DQ219" s="104">
        <v>3151</v>
      </c>
    </row>
    <row r="220" spans="1:129" ht="37.5">
      <c r="A220" s="13">
        <v>28</v>
      </c>
      <c r="B220" s="13"/>
      <c r="C220" s="14"/>
      <c r="D220" s="15" t="s">
        <v>355</v>
      </c>
      <c r="E220" s="16"/>
      <c r="F220" s="81">
        <v>0</v>
      </c>
      <c r="G220" s="81">
        <v>0</v>
      </c>
      <c r="H220" s="81">
        <v>121.41</v>
      </c>
      <c r="I220" s="17">
        <v>0</v>
      </c>
      <c r="J220" s="86">
        <v>0</v>
      </c>
      <c r="K220" s="89">
        <v>0</v>
      </c>
      <c r="L220" s="89">
        <v>0</v>
      </c>
      <c r="M220" s="87">
        <f t="shared" si="1041"/>
        <v>0</v>
      </c>
      <c r="N220" s="87">
        <v>0</v>
      </c>
      <c r="O220" s="87">
        <v>0</v>
      </c>
      <c r="P220" s="87">
        <v>0</v>
      </c>
      <c r="Q220" s="87">
        <f t="shared" si="1042"/>
        <v>0</v>
      </c>
      <c r="R220" s="87">
        <f t="shared" si="946"/>
        <v>0</v>
      </c>
      <c r="S220" s="87">
        <v>0</v>
      </c>
      <c r="V220" s="17">
        <f t="shared" si="1050"/>
        <v>128.49</v>
      </c>
      <c r="W220" s="17">
        <f t="shared" si="1051"/>
        <v>0</v>
      </c>
      <c r="X220" s="108">
        <f t="shared" si="917"/>
        <v>-128.49</v>
      </c>
      <c r="Y220" s="108">
        <f t="shared" si="918"/>
        <v>0</v>
      </c>
      <c r="Z220" s="108">
        <v>0</v>
      </c>
      <c r="AA220" s="108"/>
      <c r="AB220" s="108">
        <f t="shared" si="919"/>
        <v>0</v>
      </c>
      <c r="AC220" s="109">
        <f t="shared" si="920"/>
        <v>0</v>
      </c>
      <c r="AD220" s="108">
        <f t="shared" si="1052"/>
        <v>0</v>
      </c>
      <c r="AE220" s="108">
        <f t="shared" si="1053"/>
        <v>0</v>
      </c>
      <c r="AF220" s="108">
        <f t="shared" si="921"/>
        <v>0</v>
      </c>
      <c r="AG220" s="108">
        <f t="shared" si="922"/>
        <v>0</v>
      </c>
      <c r="AH220" s="108">
        <f t="shared" si="923"/>
        <v>0</v>
      </c>
      <c r="AI220" s="127">
        <f t="shared" si="924"/>
        <v>0</v>
      </c>
      <c r="AJ220" s="108">
        <f t="shared" si="925"/>
        <v>0</v>
      </c>
      <c r="AM220" s="108">
        <f t="shared" si="926"/>
        <v>0</v>
      </c>
      <c r="AN220" s="108">
        <f t="shared" si="927"/>
        <v>0</v>
      </c>
      <c r="AQ220" s="108">
        <f t="shared" si="928"/>
        <v>0</v>
      </c>
      <c r="AR220" s="108">
        <f t="shared" si="929"/>
        <v>0</v>
      </c>
      <c r="AU220" s="108">
        <f t="shared" si="1054"/>
        <v>0</v>
      </c>
      <c r="AV220" s="108">
        <f t="shared" si="995"/>
        <v>0</v>
      </c>
      <c r="AY220" s="108">
        <f t="shared" si="903"/>
        <v>0</v>
      </c>
      <c r="AZ220" s="108">
        <f t="shared" si="904"/>
        <v>0</v>
      </c>
      <c r="BA220" s="108">
        <f t="shared" si="905"/>
        <v>0</v>
      </c>
      <c r="BB220" s="139">
        <v>0</v>
      </c>
      <c r="BD220" s="139">
        <f t="shared" si="906"/>
        <v>0</v>
      </c>
      <c r="BE220" s="139">
        <f t="shared" si="907"/>
        <v>0</v>
      </c>
      <c r="BF220" s="139">
        <f t="shared" si="908"/>
        <v>0</v>
      </c>
      <c r="BG220" s="139">
        <f t="shared" si="909"/>
        <v>0</v>
      </c>
      <c r="BH220" s="108">
        <v>0</v>
      </c>
      <c r="BI220" s="108">
        <v>0</v>
      </c>
      <c r="BL220" s="108">
        <f t="shared" si="948"/>
        <v>0</v>
      </c>
      <c r="BM220" s="108">
        <f t="shared" si="951"/>
        <v>0</v>
      </c>
      <c r="BN220" s="108">
        <f t="shared" si="952"/>
        <v>0</v>
      </c>
      <c r="BO220" s="108">
        <v>0</v>
      </c>
      <c r="BP220" s="127"/>
      <c r="BQ220" s="108">
        <f t="shared" si="953"/>
        <v>0</v>
      </c>
      <c r="BR220" s="108">
        <f t="shared" si="954"/>
        <v>0</v>
      </c>
      <c r="BS220" s="108">
        <f t="shared" si="955"/>
        <v>0</v>
      </c>
      <c r="BT220" s="108">
        <f t="shared" si="956"/>
        <v>0</v>
      </c>
      <c r="BU220" s="108">
        <f>ROUND(BS220-BQ220,2)</f>
        <v>0</v>
      </c>
      <c r="BV220" s="108">
        <f t="shared" si="1055"/>
        <v>0</v>
      </c>
      <c r="CA220" s="108">
        <v>0</v>
      </c>
      <c r="CB220" s="108">
        <v>0</v>
      </c>
      <c r="CC220">
        <v>0</v>
      </c>
      <c r="CD220">
        <v>0</v>
      </c>
      <c r="CE220" s="189">
        <v>0</v>
      </c>
      <c r="CF220" s="189">
        <v>0</v>
      </c>
      <c r="CG220" s="189">
        <f t="shared" si="957"/>
        <v>0</v>
      </c>
      <c r="CH220" s="189">
        <f t="shared" si="958"/>
        <v>0</v>
      </c>
      <c r="CI220" s="150"/>
      <c r="CJ220" s="150"/>
      <c r="CK220" s="150">
        <v>0</v>
      </c>
      <c r="CL220" s="150">
        <v>0</v>
      </c>
      <c r="CM220" s="150"/>
      <c r="CN220" s="150"/>
      <c r="CO220" s="150"/>
      <c r="CP220" s="150"/>
      <c r="CQ220" s="150">
        <f t="shared" si="959"/>
        <v>0</v>
      </c>
      <c r="CR220" s="150">
        <f t="shared" si="960"/>
        <v>0</v>
      </c>
      <c r="CS220" s="150">
        <f t="shared" si="961"/>
        <v>0</v>
      </c>
      <c r="CT220" s="150">
        <f t="shared" si="962"/>
        <v>0</v>
      </c>
      <c r="CU220" s="150">
        <v>0</v>
      </c>
      <c r="CV220" s="150">
        <f t="shared" si="962"/>
        <v>0</v>
      </c>
      <c r="CW220" s="150">
        <f t="shared" si="963"/>
        <v>0</v>
      </c>
      <c r="CX220" s="150">
        <f t="shared" si="963"/>
        <v>0</v>
      </c>
      <c r="CY220" s="150"/>
      <c r="CZ220" s="150"/>
      <c r="DA220" s="150">
        <f t="shared" si="964"/>
        <v>0</v>
      </c>
      <c r="DB220" s="150">
        <f t="shared" si="965"/>
        <v>0</v>
      </c>
      <c r="DC220" s="150">
        <v>0</v>
      </c>
      <c r="DD220" s="150">
        <v>0</v>
      </c>
      <c r="DE220" s="150">
        <f t="shared" si="966"/>
        <v>0</v>
      </c>
      <c r="DF220" s="150">
        <f t="shared" si="967"/>
        <v>0</v>
      </c>
      <c r="DG220" s="150">
        <f t="shared" si="1048"/>
        <v>0</v>
      </c>
      <c r="DH220" s="150">
        <f t="shared" si="1048"/>
        <v>0</v>
      </c>
      <c r="DI220" s="150">
        <f t="shared" si="1049"/>
        <v>0</v>
      </c>
      <c r="DJ220" s="150">
        <f t="shared" si="1049"/>
        <v>0</v>
      </c>
      <c r="DK220" s="104">
        <f t="shared" si="839"/>
        <v>0</v>
      </c>
      <c r="DL220" s="104">
        <f t="shared" si="840"/>
        <v>0</v>
      </c>
      <c r="DM220" s="104">
        <f t="shared" si="949"/>
        <v>0</v>
      </c>
      <c r="DN220" s="104">
        <f t="shared" si="950"/>
        <v>0</v>
      </c>
      <c r="DO220" s="104">
        <v>0</v>
      </c>
      <c r="DP220" s="104">
        <v>0</v>
      </c>
      <c r="DQ220" s="104">
        <v>0</v>
      </c>
      <c r="DR220" s="104">
        <v>0</v>
      </c>
    </row>
    <row r="221" spans="1:129" ht="18.75">
      <c r="A221" s="18"/>
      <c r="B221" s="18" t="s">
        <v>356</v>
      </c>
      <c r="C221" s="19" t="s">
        <v>45</v>
      </c>
      <c r="D221" s="20" t="s">
        <v>353</v>
      </c>
      <c r="E221" s="21" t="s">
        <v>357</v>
      </c>
      <c r="F221" s="22">
        <v>3017.3100000000004</v>
      </c>
      <c r="G221" s="22">
        <v>209.87000000000003</v>
      </c>
      <c r="H221" s="22">
        <v>3274.37</v>
      </c>
      <c r="I221" s="22">
        <v>264.87</v>
      </c>
      <c r="J221" s="88">
        <f t="shared" ref="J221:AA221" si="1056">+J218+J219+J220</f>
        <v>3203.4700000000003</v>
      </c>
      <c r="K221" s="88">
        <f t="shared" si="1056"/>
        <v>85</v>
      </c>
      <c r="L221" s="88">
        <f t="shared" si="1056"/>
        <v>0</v>
      </c>
      <c r="M221" s="88">
        <f t="shared" si="1056"/>
        <v>3288.4700000000003</v>
      </c>
      <c r="N221" s="88">
        <f t="shared" si="1056"/>
        <v>0</v>
      </c>
      <c r="O221" s="88">
        <f t="shared" si="1056"/>
        <v>0</v>
      </c>
      <c r="P221" s="88">
        <f t="shared" si="1056"/>
        <v>0</v>
      </c>
      <c r="Q221" s="88">
        <f t="shared" si="1056"/>
        <v>0</v>
      </c>
      <c r="R221" s="88">
        <f t="shared" si="1056"/>
        <v>3288.4700000000003</v>
      </c>
      <c r="S221" s="88">
        <f t="shared" si="1056"/>
        <v>350</v>
      </c>
      <c r="T221" s="88">
        <f t="shared" si="1056"/>
        <v>0</v>
      </c>
      <c r="U221" s="88">
        <f t="shared" si="1056"/>
        <v>0</v>
      </c>
      <c r="V221" s="88">
        <f t="shared" si="1056"/>
        <v>3465.26</v>
      </c>
      <c r="W221" s="88">
        <f t="shared" si="1056"/>
        <v>273.52999999999997</v>
      </c>
      <c r="X221" s="88">
        <f t="shared" si="1056"/>
        <v>-176.78999999999996</v>
      </c>
      <c r="Y221" s="88">
        <f t="shared" si="1056"/>
        <v>76.470000000000027</v>
      </c>
      <c r="Z221" s="88">
        <f t="shared" si="1056"/>
        <v>3236.7200000000003</v>
      </c>
      <c r="AA221" s="88">
        <f t="shared" si="1056"/>
        <v>0</v>
      </c>
      <c r="AB221" s="22">
        <f t="shared" si="919"/>
        <v>3236.7200000000003</v>
      </c>
      <c r="AC221" s="109">
        <f t="shared" si="920"/>
        <v>0</v>
      </c>
      <c r="AD221" s="22">
        <f t="shared" ref="AD221:CP221" si="1057">+AD218+AD219+AD220</f>
        <v>3236.7200000000003</v>
      </c>
      <c r="AE221" s="22">
        <f t="shared" si="1057"/>
        <v>273.52999999999997</v>
      </c>
      <c r="AF221" s="22">
        <f t="shared" si="1057"/>
        <v>315.77</v>
      </c>
      <c r="AG221" s="22">
        <f t="shared" si="1057"/>
        <v>809</v>
      </c>
      <c r="AH221" s="22">
        <f t="shared" si="1057"/>
        <v>68</v>
      </c>
      <c r="AI221" s="118">
        <f t="shared" si="1057"/>
        <v>269</v>
      </c>
      <c r="AJ221" s="22">
        <f t="shared" si="1057"/>
        <v>23</v>
      </c>
      <c r="AK221" s="22">
        <f t="shared" si="1057"/>
        <v>0</v>
      </c>
      <c r="AL221" s="22">
        <f t="shared" si="1057"/>
        <v>125</v>
      </c>
      <c r="AM221" s="22">
        <f t="shared" si="1057"/>
        <v>809.18000000000006</v>
      </c>
      <c r="AN221" s="22">
        <f t="shared" si="1057"/>
        <v>49.999999999999993</v>
      </c>
      <c r="AO221" s="22">
        <f t="shared" si="1057"/>
        <v>0</v>
      </c>
      <c r="AP221" s="22">
        <f t="shared" si="1057"/>
        <v>0</v>
      </c>
      <c r="AQ221" s="22">
        <f t="shared" si="1057"/>
        <v>1618.18</v>
      </c>
      <c r="AR221" s="22">
        <f t="shared" si="1057"/>
        <v>243</v>
      </c>
      <c r="AS221" s="22">
        <f t="shared" si="1057"/>
        <v>0</v>
      </c>
      <c r="AT221" s="22">
        <f t="shared" si="1057"/>
        <v>62</v>
      </c>
      <c r="AU221" s="22">
        <f t="shared" si="1057"/>
        <v>809.18000000000006</v>
      </c>
      <c r="AV221" s="22">
        <f t="shared" si="1057"/>
        <v>68.38</v>
      </c>
      <c r="AW221" s="22">
        <f t="shared" si="1057"/>
        <v>0</v>
      </c>
      <c r="AX221" s="22">
        <f t="shared" si="1057"/>
        <v>13.62</v>
      </c>
      <c r="AY221" s="22">
        <f t="shared" si="1057"/>
        <v>2696.36</v>
      </c>
      <c r="AZ221" s="22">
        <f t="shared" si="1057"/>
        <v>410</v>
      </c>
      <c r="BA221" s="22">
        <f t="shared" si="1057"/>
        <v>3106.36</v>
      </c>
      <c r="BB221" s="22">
        <f t="shared" si="1057"/>
        <v>2634.4399999999996</v>
      </c>
      <c r="BC221" s="22">
        <f t="shared" si="1057"/>
        <v>407.16</v>
      </c>
      <c r="BD221" s="22">
        <f t="shared" si="1057"/>
        <v>61.920000000000073</v>
      </c>
      <c r="BE221" s="22">
        <f t="shared" si="1057"/>
        <v>2.839999999999975</v>
      </c>
      <c r="BF221" s="22">
        <f t="shared" si="1057"/>
        <v>526.89</v>
      </c>
      <c r="BG221" s="118">
        <f t="shared" si="1057"/>
        <v>81.430000000000007</v>
      </c>
      <c r="BH221" s="118">
        <f t="shared" si="1057"/>
        <v>232.48999999999998</v>
      </c>
      <c r="BI221" s="118">
        <f t="shared" si="1057"/>
        <v>35</v>
      </c>
      <c r="BJ221" s="118">
        <f t="shared" si="1057"/>
        <v>0</v>
      </c>
      <c r="BK221" s="118">
        <f t="shared" si="1057"/>
        <v>0</v>
      </c>
      <c r="BL221" s="118">
        <f t="shared" si="1057"/>
        <v>2928.85</v>
      </c>
      <c r="BM221" s="118">
        <f t="shared" si="1057"/>
        <v>445</v>
      </c>
      <c r="BN221" s="118">
        <f t="shared" si="1057"/>
        <v>3373.85</v>
      </c>
      <c r="BO221" s="118">
        <f t="shared" si="1057"/>
        <v>2742.47</v>
      </c>
      <c r="BP221" s="118">
        <f t="shared" si="1057"/>
        <v>420.75</v>
      </c>
      <c r="BQ221" s="22">
        <f t="shared" si="1057"/>
        <v>186.38000000000011</v>
      </c>
      <c r="BR221" s="22">
        <f t="shared" si="1057"/>
        <v>24.25</v>
      </c>
      <c r="BS221" s="22">
        <f t="shared" si="1057"/>
        <v>249.32</v>
      </c>
      <c r="BT221" s="22">
        <f t="shared" si="1057"/>
        <v>38.25</v>
      </c>
      <c r="BU221" s="22">
        <f t="shared" si="1057"/>
        <v>62.940000000000005</v>
      </c>
      <c r="BV221" s="22">
        <f t="shared" si="1057"/>
        <v>14</v>
      </c>
      <c r="BW221" s="22">
        <f t="shared" si="1057"/>
        <v>421.07</v>
      </c>
      <c r="BX221" s="22">
        <f t="shared" si="1057"/>
        <v>0</v>
      </c>
      <c r="BY221" s="22">
        <f t="shared" si="1057"/>
        <v>0</v>
      </c>
      <c r="BZ221" s="22">
        <f t="shared" si="1057"/>
        <v>0</v>
      </c>
      <c r="CA221" s="22">
        <f t="shared" si="1057"/>
        <v>3412.8599999999997</v>
      </c>
      <c r="CB221" s="22">
        <f t="shared" si="1057"/>
        <v>459</v>
      </c>
      <c r="CC221" s="22">
        <f t="shared" si="1057"/>
        <v>3754.14</v>
      </c>
      <c r="CD221" s="118">
        <f t="shared" si="1057"/>
        <v>527.85</v>
      </c>
      <c r="CE221" s="190">
        <f t="shared" si="1057"/>
        <v>312</v>
      </c>
      <c r="CF221" s="190">
        <f t="shared" si="1057"/>
        <v>44</v>
      </c>
      <c r="CG221" s="190">
        <f t="shared" si="1057"/>
        <v>853.21</v>
      </c>
      <c r="CH221" s="190">
        <f t="shared" si="1057"/>
        <v>114.75</v>
      </c>
      <c r="CI221" s="190">
        <f t="shared" si="1057"/>
        <v>0</v>
      </c>
      <c r="CJ221" s="190">
        <f t="shared" si="1057"/>
        <v>0</v>
      </c>
      <c r="CK221" s="190">
        <f t="shared" si="1057"/>
        <v>943</v>
      </c>
      <c r="CL221" s="190">
        <f t="shared" si="1057"/>
        <v>12</v>
      </c>
      <c r="CM221" s="190">
        <f t="shared" si="1057"/>
        <v>0</v>
      </c>
      <c r="CN221" s="190">
        <f t="shared" si="1057"/>
        <v>0</v>
      </c>
      <c r="CO221" s="190">
        <f t="shared" si="1057"/>
        <v>3551.13</v>
      </c>
      <c r="CP221" s="190">
        <f t="shared" si="1057"/>
        <v>250</v>
      </c>
      <c r="CQ221" s="190">
        <f t="shared" ref="CQ221:DR221" si="1058">+CQ218+CQ219+CQ220</f>
        <v>3772</v>
      </c>
      <c r="CR221" s="190">
        <f t="shared" si="1058"/>
        <v>48</v>
      </c>
      <c r="CS221" s="190">
        <f t="shared" si="1058"/>
        <v>3443.13</v>
      </c>
      <c r="CT221" s="190">
        <f t="shared" si="1058"/>
        <v>320</v>
      </c>
      <c r="CU221" s="190">
        <f t="shared" si="1058"/>
        <v>4410</v>
      </c>
      <c r="CV221" s="190">
        <f t="shared" si="1058"/>
        <v>320</v>
      </c>
      <c r="CW221" s="190">
        <f t="shared" si="1058"/>
        <v>1102.5</v>
      </c>
      <c r="CX221" s="190">
        <f t="shared" si="1058"/>
        <v>40</v>
      </c>
      <c r="CY221" s="190">
        <f t="shared" si="1058"/>
        <v>0</v>
      </c>
      <c r="CZ221" s="190">
        <f t="shared" si="1058"/>
        <v>3</v>
      </c>
      <c r="DA221" s="190">
        <f t="shared" si="1058"/>
        <v>2357.5</v>
      </c>
      <c r="DB221" s="190">
        <f t="shared" si="1058"/>
        <v>99</v>
      </c>
      <c r="DC221" s="190">
        <f t="shared" si="1058"/>
        <v>2274.37</v>
      </c>
      <c r="DD221" s="190">
        <f t="shared" si="1058"/>
        <v>98.61</v>
      </c>
      <c r="DE221" s="190">
        <f t="shared" si="1058"/>
        <v>83.13</v>
      </c>
      <c r="DF221" s="190">
        <f t="shared" si="1058"/>
        <v>0.39000000000000057</v>
      </c>
      <c r="DG221" s="190">
        <f t="shared" si="1058"/>
        <v>1035</v>
      </c>
      <c r="DH221" s="190">
        <f t="shared" si="1058"/>
        <v>80</v>
      </c>
      <c r="DI221" s="190">
        <f t="shared" si="1058"/>
        <v>951.87</v>
      </c>
      <c r="DJ221" s="190">
        <f t="shared" si="1058"/>
        <v>79.61</v>
      </c>
      <c r="DK221" s="104">
        <f t="shared" si="839"/>
        <v>830.63</v>
      </c>
      <c r="DL221" s="104">
        <f t="shared" si="840"/>
        <v>151.38999999999999</v>
      </c>
      <c r="DM221" s="104">
        <f t="shared" si="949"/>
        <v>1100.6300000000001</v>
      </c>
      <c r="DN221" s="104">
        <f t="shared" si="950"/>
        <v>141.38999999999999</v>
      </c>
      <c r="DO221" s="22">
        <f t="shared" si="1058"/>
        <v>4140</v>
      </c>
      <c r="DP221" s="22">
        <f t="shared" si="1058"/>
        <v>330</v>
      </c>
      <c r="DQ221" s="22">
        <f t="shared" si="1058"/>
        <v>4601</v>
      </c>
      <c r="DR221" s="22">
        <f t="shared" si="1058"/>
        <v>275</v>
      </c>
      <c r="DS221" s="22">
        <f t="shared" ref="DS221:DW221" si="1059">+DS218+DS219+DS220</f>
        <v>0</v>
      </c>
      <c r="DT221" s="22">
        <f t="shared" si="1059"/>
        <v>0</v>
      </c>
      <c r="DU221" s="22">
        <f t="shared" si="1059"/>
        <v>0</v>
      </c>
      <c r="DV221" s="22">
        <f t="shared" si="1059"/>
        <v>0</v>
      </c>
      <c r="DW221" s="22">
        <f t="shared" si="1059"/>
        <v>0</v>
      </c>
    </row>
    <row r="222" spans="1:129" ht="18.75">
      <c r="A222" s="18">
        <v>29</v>
      </c>
      <c r="B222" s="18" t="s">
        <v>358</v>
      </c>
      <c r="C222" s="19" t="s">
        <v>13</v>
      </c>
      <c r="D222" s="20" t="s">
        <v>359</v>
      </c>
      <c r="E222" s="21" t="s">
        <v>360</v>
      </c>
      <c r="F222" s="81">
        <v>620.8599999999999</v>
      </c>
      <c r="G222" s="81">
        <v>13.07</v>
      </c>
      <c r="H222" s="81">
        <v>620.8599999999999</v>
      </c>
      <c r="I222" s="22">
        <v>13.07</v>
      </c>
      <c r="J222" s="88">
        <v>690</v>
      </c>
      <c r="K222" s="88">
        <v>0</v>
      </c>
      <c r="L222" s="88">
        <v>0</v>
      </c>
      <c r="M222" s="88">
        <f t="shared" ref="M222" si="1060">+L222+K222+J222</f>
        <v>690</v>
      </c>
      <c r="N222" s="88">
        <v>0</v>
      </c>
      <c r="O222" s="88">
        <v>0</v>
      </c>
      <c r="P222" s="88">
        <v>0</v>
      </c>
      <c r="Q222" s="88">
        <f t="shared" ref="Q222" si="1061">+P222+O222+N222</f>
        <v>0</v>
      </c>
      <c r="R222" s="88">
        <f t="shared" si="946"/>
        <v>690</v>
      </c>
      <c r="S222" s="88">
        <v>0</v>
      </c>
      <c r="V222" s="88">
        <f t="shared" ref="V222" si="1062">ROUND(H222*1.0583,2)</f>
        <v>657.06</v>
      </c>
      <c r="W222" s="88">
        <f t="shared" ref="W222" si="1063">ROUND(I222*1.0327,2)</f>
        <v>13.5</v>
      </c>
      <c r="X222" s="88">
        <f t="shared" si="917"/>
        <v>32.940000000000055</v>
      </c>
      <c r="Y222" s="88">
        <f t="shared" si="918"/>
        <v>-13.5</v>
      </c>
      <c r="Z222" s="88">
        <v>657.06</v>
      </c>
      <c r="AA222" s="88"/>
      <c r="AB222" s="88">
        <f t="shared" si="919"/>
        <v>657.06</v>
      </c>
      <c r="AC222" s="109">
        <f t="shared" si="920"/>
        <v>0</v>
      </c>
      <c r="AD222" s="88">
        <f t="shared" ref="AD222" si="1064">IF(X222&gt;0,V222,R222)</f>
        <v>657.06</v>
      </c>
      <c r="AE222" s="88">
        <f t="shared" ref="AE222" si="1065">IF(Y222&gt;0,W222,S222)</f>
        <v>0</v>
      </c>
      <c r="AF222" s="88">
        <f t="shared" si="921"/>
        <v>0</v>
      </c>
      <c r="AG222" s="108">
        <f t="shared" si="922"/>
        <v>164</v>
      </c>
      <c r="AH222" s="108">
        <f t="shared" si="923"/>
        <v>0</v>
      </c>
      <c r="AI222" s="127">
        <f t="shared" si="924"/>
        <v>55</v>
      </c>
      <c r="AJ222" s="108">
        <f t="shared" si="925"/>
        <v>0</v>
      </c>
      <c r="AM222" s="108">
        <f t="shared" si="926"/>
        <v>164.27</v>
      </c>
      <c r="AN222" s="108">
        <f t="shared" si="927"/>
        <v>0</v>
      </c>
      <c r="AQ222" s="108">
        <f t="shared" si="928"/>
        <v>328.27</v>
      </c>
      <c r="AR222" s="108">
        <f t="shared" si="929"/>
        <v>0</v>
      </c>
      <c r="AU222" s="108">
        <f t="shared" si="1054"/>
        <v>164.27</v>
      </c>
      <c r="AV222" s="108">
        <f t="shared" si="995"/>
        <v>0</v>
      </c>
      <c r="AW222" s="143">
        <v>57</v>
      </c>
      <c r="AY222" s="108">
        <f t="shared" si="903"/>
        <v>604.54</v>
      </c>
      <c r="AZ222" s="108">
        <f t="shared" si="904"/>
        <v>0</v>
      </c>
      <c r="BA222" s="108">
        <f t="shared" si="905"/>
        <v>604.54</v>
      </c>
      <c r="BB222" s="139">
        <v>592.9</v>
      </c>
      <c r="BD222" s="139">
        <f t="shared" si="906"/>
        <v>11.639999999999986</v>
      </c>
      <c r="BE222" s="139">
        <f t="shared" si="907"/>
        <v>0</v>
      </c>
      <c r="BF222" s="139">
        <f t="shared" si="908"/>
        <v>118.58</v>
      </c>
      <c r="BG222" s="139">
        <f t="shared" si="909"/>
        <v>0</v>
      </c>
      <c r="BH222" s="108">
        <v>46.91</v>
      </c>
      <c r="BI222" s="108">
        <v>0</v>
      </c>
      <c r="BL222" s="108">
        <f t="shared" si="948"/>
        <v>651.44999999999993</v>
      </c>
      <c r="BM222" s="108">
        <f t="shared" si="951"/>
        <v>0</v>
      </c>
      <c r="BN222" s="108">
        <f t="shared" si="952"/>
        <v>651.44999999999993</v>
      </c>
      <c r="BO222" s="108">
        <v>651.54999999999995</v>
      </c>
      <c r="BP222" s="127"/>
      <c r="BQ222" s="108">
        <f t="shared" si="953"/>
        <v>-0.10000000000002274</v>
      </c>
      <c r="BR222" s="108">
        <f t="shared" si="954"/>
        <v>0</v>
      </c>
      <c r="BS222" s="108">
        <f t="shared" si="955"/>
        <v>59.23</v>
      </c>
      <c r="BT222" s="108">
        <f t="shared" si="956"/>
        <v>0</v>
      </c>
      <c r="BU222" s="108">
        <f t="shared" si="987"/>
        <v>59.33000000000002</v>
      </c>
      <c r="BV222" s="143">
        <v>2.52</v>
      </c>
      <c r="BW222" s="109">
        <v>14.6</v>
      </c>
      <c r="BX222" s="143"/>
      <c r="BY222" s="143"/>
      <c r="BZ222" s="143"/>
      <c r="CA222" s="108">
        <v>725.38</v>
      </c>
      <c r="CB222" s="108">
        <v>2.52</v>
      </c>
      <c r="CC222">
        <v>797.92</v>
      </c>
      <c r="CD222">
        <v>2.9</v>
      </c>
      <c r="CE222" s="189">
        <v>66</v>
      </c>
      <c r="CF222" s="189">
        <v>0</v>
      </c>
      <c r="CG222" s="189">
        <f t="shared" si="957"/>
        <v>181.35</v>
      </c>
      <c r="CH222" s="189">
        <f t="shared" si="958"/>
        <v>0.63</v>
      </c>
      <c r="CI222" s="150"/>
      <c r="CJ222" s="150"/>
      <c r="CK222" s="150">
        <v>210</v>
      </c>
      <c r="CL222" s="150">
        <v>0</v>
      </c>
      <c r="CM222" s="150"/>
      <c r="CN222" s="150"/>
      <c r="CO222" s="150">
        <v>720</v>
      </c>
      <c r="CP222" s="150">
        <v>0</v>
      </c>
      <c r="CQ222" s="150">
        <f t="shared" si="959"/>
        <v>840</v>
      </c>
      <c r="CR222" s="150">
        <f t="shared" si="960"/>
        <v>0</v>
      </c>
      <c r="CS222" s="150">
        <f t="shared" si="961"/>
        <v>720</v>
      </c>
      <c r="CT222" s="150">
        <f t="shared" si="962"/>
        <v>0</v>
      </c>
      <c r="CU222" s="150">
        <v>760</v>
      </c>
      <c r="CV222" s="150">
        <v>0</v>
      </c>
      <c r="CW222" s="150">
        <f t="shared" si="963"/>
        <v>190</v>
      </c>
      <c r="CX222" s="150">
        <f t="shared" si="963"/>
        <v>0</v>
      </c>
      <c r="CY222" s="150"/>
      <c r="CZ222" s="150"/>
      <c r="DA222" s="150">
        <f t="shared" si="964"/>
        <v>466</v>
      </c>
      <c r="DB222" s="150">
        <f t="shared" si="965"/>
        <v>0</v>
      </c>
      <c r="DC222" s="150">
        <v>439.1</v>
      </c>
      <c r="DD222" s="150">
        <v>0.08</v>
      </c>
      <c r="DE222" s="150">
        <f t="shared" si="966"/>
        <v>26.899999999999977</v>
      </c>
      <c r="DF222" s="150">
        <f t="shared" si="967"/>
        <v>-0.08</v>
      </c>
      <c r="DG222" s="150">
        <f>ROUND(0.25*(MIN(CU222,DO222)),2)</f>
        <v>190</v>
      </c>
      <c r="DH222" s="150">
        <f>ROUND(0.25*(MIN(CV222,DP222)),2)</f>
        <v>0</v>
      </c>
      <c r="DI222" s="150">
        <f>+DG222-DE222</f>
        <v>163.10000000000002</v>
      </c>
      <c r="DJ222" s="150">
        <f>+DH222-DF222-0.08</f>
        <v>0</v>
      </c>
      <c r="DK222" s="104">
        <f t="shared" si="839"/>
        <v>132.54999999999995</v>
      </c>
      <c r="DL222" s="104">
        <f t="shared" si="840"/>
        <v>0</v>
      </c>
      <c r="DM222" s="104">
        <f t="shared" si="949"/>
        <v>130.89999999999998</v>
      </c>
      <c r="DN222" s="104">
        <f t="shared" si="950"/>
        <v>0</v>
      </c>
      <c r="DO222" s="104">
        <v>761.65</v>
      </c>
      <c r="DQ222" s="104">
        <v>785</v>
      </c>
    </row>
    <row r="223" spans="1:129" ht="37.5">
      <c r="A223" s="45"/>
      <c r="B223" s="45"/>
      <c r="C223" s="46"/>
      <c r="D223" s="47" t="s">
        <v>361</v>
      </c>
      <c r="E223" s="48" t="s">
        <v>362</v>
      </c>
      <c r="F223" s="49">
        <v>42116.42</v>
      </c>
      <c r="G223" s="49">
        <v>12984.279999999999</v>
      </c>
      <c r="H223" s="49">
        <v>42351.56</v>
      </c>
      <c r="I223" s="49">
        <v>13186.21</v>
      </c>
      <c r="J223" s="92">
        <f t="shared" ref="J223:AA223" si="1066">+J222+J221+J217+J214+J213+J205+J206+J209+J196+J197+J198+J195+J192+J191+J187</f>
        <v>48686.55</v>
      </c>
      <c r="K223" s="92">
        <f t="shared" si="1066"/>
        <v>1388.01</v>
      </c>
      <c r="L223" s="92">
        <f t="shared" si="1066"/>
        <v>0.1</v>
      </c>
      <c r="M223" s="92">
        <f t="shared" si="1066"/>
        <v>50074.66</v>
      </c>
      <c r="N223" s="92">
        <f t="shared" si="1066"/>
        <v>0</v>
      </c>
      <c r="O223" s="92">
        <f t="shared" si="1066"/>
        <v>0</v>
      </c>
      <c r="P223" s="92">
        <f t="shared" si="1066"/>
        <v>0</v>
      </c>
      <c r="Q223" s="92">
        <f t="shared" si="1066"/>
        <v>0</v>
      </c>
      <c r="R223" s="92">
        <f t="shared" si="1066"/>
        <v>50074.66</v>
      </c>
      <c r="S223" s="92">
        <f t="shared" si="1066"/>
        <v>15685</v>
      </c>
      <c r="T223" s="92">
        <f t="shared" si="1066"/>
        <v>0</v>
      </c>
      <c r="U223" s="92">
        <f t="shared" si="1066"/>
        <v>0</v>
      </c>
      <c r="V223" s="92">
        <f t="shared" si="1066"/>
        <v>44820.650000000009</v>
      </c>
      <c r="W223" s="92">
        <f t="shared" si="1066"/>
        <v>13617.42</v>
      </c>
      <c r="X223" s="92">
        <f t="shared" si="1066"/>
        <v>5254.01</v>
      </c>
      <c r="Y223" s="92">
        <f t="shared" si="1066"/>
        <v>2067.5800000000004</v>
      </c>
      <c r="Z223" s="92">
        <f t="shared" si="1066"/>
        <v>45314.600000000006</v>
      </c>
      <c r="AA223" s="92">
        <f t="shared" si="1066"/>
        <v>0</v>
      </c>
      <c r="AB223" s="49">
        <f t="shared" si="919"/>
        <v>45314.600000000006</v>
      </c>
      <c r="AC223" s="109">
        <f t="shared" si="920"/>
        <v>0</v>
      </c>
      <c r="AD223" s="49">
        <f t="shared" ref="AD223:CP223" si="1067">+AD222+AD221+AD217+AD214+AD213+AD205+AD206+AD209+AD196+AD197+AD198+AD195+AD192+AD191+AD187</f>
        <v>45314.600000000006</v>
      </c>
      <c r="AE223" s="49">
        <f t="shared" si="1067"/>
        <v>13855.71</v>
      </c>
      <c r="AF223" s="49">
        <f t="shared" si="1067"/>
        <v>14151</v>
      </c>
      <c r="AG223" s="49">
        <f t="shared" si="1067"/>
        <v>11329</v>
      </c>
      <c r="AH223" s="49">
        <f t="shared" si="1067"/>
        <v>3290</v>
      </c>
      <c r="AI223" s="49">
        <f t="shared" si="1067"/>
        <v>3775</v>
      </c>
      <c r="AJ223" s="49">
        <f t="shared" si="1067"/>
        <v>1098</v>
      </c>
      <c r="AK223" s="49">
        <f t="shared" si="1067"/>
        <v>39.85</v>
      </c>
      <c r="AL223" s="49">
        <f t="shared" si="1067"/>
        <v>654.07999999999993</v>
      </c>
      <c r="AM223" s="49">
        <f t="shared" si="1067"/>
        <v>11328.68</v>
      </c>
      <c r="AN223" s="49">
        <f t="shared" si="1067"/>
        <v>3281.29</v>
      </c>
      <c r="AO223" s="49">
        <f t="shared" si="1067"/>
        <v>0</v>
      </c>
      <c r="AP223" s="49">
        <f t="shared" si="1067"/>
        <v>0</v>
      </c>
      <c r="AQ223" s="49">
        <f t="shared" si="1067"/>
        <v>22697.530000000002</v>
      </c>
      <c r="AR223" s="49">
        <f t="shared" si="1067"/>
        <v>7225.3700000000008</v>
      </c>
      <c r="AS223" s="49">
        <f t="shared" si="1067"/>
        <v>0</v>
      </c>
      <c r="AT223" s="49">
        <f t="shared" si="1067"/>
        <v>217</v>
      </c>
      <c r="AU223" s="49">
        <f t="shared" si="1067"/>
        <v>11328.68</v>
      </c>
      <c r="AV223" s="49">
        <f t="shared" si="1067"/>
        <v>3496.15</v>
      </c>
      <c r="AW223" s="49">
        <f t="shared" si="1067"/>
        <v>57</v>
      </c>
      <c r="AX223" s="49">
        <f t="shared" si="1067"/>
        <v>669.32</v>
      </c>
      <c r="AY223" s="49">
        <f t="shared" si="1067"/>
        <v>37858.21</v>
      </c>
      <c r="AZ223" s="49">
        <f t="shared" si="1067"/>
        <v>12705.84</v>
      </c>
      <c r="BA223" s="49">
        <f t="shared" si="1067"/>
        <v>50564.049999999996</v>
      </c>
      <c r="BB223" s="49">
        <f t="shared" si="1067"/>
        <v>35819.55999999999</v>
      </c>
      <c r="BC223" s="49">
        <f t="shared" si="1067"/>
        <v>11804.640000000001</v>
      </c>
      <c r="BD223" s="49">
        <f t="shared" si="1067"/>
        <v>2038.6500000000005</v>
      </c>
      <c r="BE223" s="49">
        <f t="shared" si="1067"/>
        <v>901.2</v>
      </c>
      <c r="BF223" s="49">
        <f t="shared" si="1067"/>
        <v>7163.92</v>
      </c>
      <c r="BG223" s="49">
        <f t="shared" si="1067"/>
        <v>2360.9299999999998</v>
      </c>
      <c r="BH223" s="49">
        <f t="shared" si="1067"/>
        <v>2615.6600000000003</v>
      </c>
      <c r="BI223" s="49">
        <f t="shared" si="1067"/>
        <v>967.74</v>
      </c>
      <c r="BJ223" s="49">
        <f t="shared" si="1067"/>
        <v>0</v>
      </c>
      <c r="BK223" s="49">
        <f t="shared" si="1067"/>
        <v>322.37</v>
      </c>
      <c r="BL223" s="49">
        <f t="shared" si="1067"/>
        <v>40473.869999999995</v>
      </c>
      <c r="BM223" s="49">
        <f t="shared" si="1067"/>
        <v>13995.95</v>
      </c>
      <c r="BN223" s="49">
        <f t="shared" si="1067"/>
        <v>54469.820000000007</v>
      </c>
      <c r="BO223" s="49">
        <f t="shared" si="1067"/>
        <v>38823.35</v>
      </c>
      <c r="BP223" s="130">
        <f t="shared" si="1067"/>
        <v>13173.269999999999</v>
      </c>
      <c r="BQ223" s="49">
        <f t="shared" si="1067"/>
        <v>1650.5200000000007</v>
      </c>
      <c r="BR223" s="49">
        <f t="shared" si="1067"/>
        <v>822.6800000000004</v>
      </c>
      <c r="BS223" s="49">
        <f t="shared" si="1067"/>
        <v>3529.4000000000005</v>
      </c>
      <c r="BT223" s="49">
        <f t="shared" si="1067"/>
        <v>1197.57</v>
      </c>
      <c r="BU223" s="49">
        <f t="shared" si="1067"/>
        <v>2326.1199999999994</v>
      </c>
      <c r="BV223" s="49">
        <f t="shared" si="1067"/>
        <v>946.88</v>
      </c>
      <c r="BW223" s="49">
        <f t="shared" si="1067"/>
        <v>1465.86</v>
      </c>
      <c r="BX223" s="49">
        <f t="shared" si="1067"/>
        <v>310.95999999999998</v>
      </c>
      <c r="BY223" s="49">
        <f t="shared" si="1067"/>
        <v>367.64</v>
      </c>
      <c r="BZ223" s="49">
        <f t="shared" si="1067"/>
        <v>0</v>
      </c>
      <c r="CA223" s="49">
        <f t="shared" si="1067"/>
        <v>44281.75</v>
      </c>
      <c r="CB223" s="49">
        <f t="shared" si="1067"/>
        <v>14886.150000000001</v>
      </c>
      <c r="CC223" s="49">
        <f t="shared" si="1067"/>
        <v>48692.43</v>
      </c>
      <c r="CD223" s="130">
        <f t="shared" si="1067"/>
        <v>17119.079999999998</v>
      </c>
      <c r="CE223" s="191">
        <f t="shared" si="1067"/>
        <v>4055</v>
      </c>
      <c r="CF223" s="191">
        <f t="shared" si="1067"/>
        <v>1427</v>
      </c>
      <c r="CG223" s="191">
        <f t="shared" si="1067"/>
        <v>11070.45</v>
      </c>
      <c r="CH223" s="191">
        <f t="shared" si="1067"/>
        <v>3721.5600000000004</v>
      </c>
      <c r="CI223" s="191">
        <f t="shared" si="1067"/>
        <v>0</v>
      </c>
      <c r="CJ223" s="191">
        <f t="shared" si="1067"/>
        <v>0</v>
      </c>
      <c r="CK223" s="191">
        <f t="shared" si="1067"/>
        <v>12052.41</v>
      </c>
      <c r="CL223" s="191">
        <f t="shared" si="1067"/>
        <v>3302</v>
      </c>
      <c r="CM223" s="191">
        <f t="shared" si="1067"/>
        <v>105</v>
      </c>
      <c r="CN223" s="191">
        <f t="shared" si="1067"/>
        <v>322.95</v>
      </c>
      <c r="CO223" s="191">
        <f t="shared" si="1067"/>
        <v>50758.47</v>
      </c>
      <c r="CP223" s="191">
        <f t="shared" si="1067"/>
        <v>16810.79</v>
      </c>
      <c r="CQ223" s="191">
        <f t="shared" ref="CQ223:DT223" si="1068">+CQ222+CQ221+CQ217+CQ214+CQ213+CQ205+CQ206+CQ209+CQ196+CQ197+CQ198+CQ195+CQ192+CQ191+CQ187</f>
        <v>48209.64</v>
      </c>
      <c r="CR223" s="191">
        <f t="shared" si="1068"/>
        <v>13383</v>
      </c>
      <c r="CS223" s="191">
        <f t="shared" si="1068"/>
        <v>47112.770000000004</v>
      </c>
      <c r="CT223" s="191">
        <f t="shared" si="1068"/>
        <v>13843</v>
      </c>
      <c r="CU223" s="191">
        <f t="shared" si="1068"/>
        <v>49159.64</v>
      </c>
      <c r="CV223" s="191">
        <f t="shared" si="1068"/>
        <v>15418</v>
      </c>
      <c r="CW223" s="191">
        <f t="shared" si="1068"/>
        <v>12324.92</v>
      </c>
      <c r="CX223" s="191">
        <f t="shared" si="1068"/>
        <v>1829.82</v>
      </c>
      <c r="CY223" s="191">
        <f t="shared" si="1068"/>
        <v>25</v>
      </c>
      <c r="CZ223" s="191">
        <f t="shared" si="1068"/>
        <v>2305.9300000000003</v>
      </c>
      <c r="DA223" s="191">
        <f t="shared" si="1068"/>
        <v>28562.33</v>
      </c>
      <c r="DB223" s="191">
        <f t="shared" si="1068"/>
        <v>9187.7000000000007</v>
      </c>
      <c r="DC223" s="191">
        <f t="shared" si="1068"/>
        <v>27017.029999999995</v>
      </c>
      <c r="DD223" s="191">
        <f t="shared" si="1068"/>
        <v>8958.81</v>
      </c>
      <c r="DE223" s="191">
        <f t="shared" si="1068"/>
        <v>1545.3</v>
      </c>
      <c r="DF223" s="191">
        <f t="shared" si="1068"/>
        <v>228.89000000000024</v>
      </c>
      <c r="DG223" s="191">
        <f t="shared" si="1068"/>
        <v>11970.71</v>
      </c>
      <c r="DH223" s="191">
        <f t="shared" si="1068"/>
        <v>3847</v>
      </c>
      <c r="DI223" s="191">
        <f t="shared" si="1068"/>
        <v>10425.41</v>
      </c>
      <c r="DJ223" s="191">
        <f t="shared" si="1068"/>
        <v>3754.54</v>
      </c>
      <c r="DK223" s="104">
        <f t="shared" si="839"/>
        <v>9720.619999999999</v>
      </c>
      <c r="DL223" s="104">
        <f t="shared" si="840"/>
        <v>3988.1699999999992</v>
      </c>
      <c r="DM223" s="104">
        <f t="shared" si="949"/>
        <v>10171.899999999998</v>
      </c>
      <c r="DN223" s="104">
        <f t="shared" si="950"/>
        <v>2475.7599999999993</v>
      </c>
      <c r="DO223" s="49">
        <f t="shared" si="1068"/>
        <v>48708.36</v>
      </c>
      <c r="DP223" s="49">
        <f t="shared" si="1068"/>
        <v>16930.41</v>
      </c>
      <c r="DQ223" s="49">
        <f t="shared" si="1068"/>
        <v>53845.2</v>
      </c>
      <c r="DR223" s="49">
        <f t="shared" si="1068"/>
        <v>16717</v>
      </c>
      <c r="DS223" s="49">
        <f t="shared" si="1068"/>
        <v>0</v>
      </c>
      <c r="DT223" s="49">
        <f t="shared" si="1068"/>
        <v>0</v>
      </c>
      <c r="DU223" s="49">
        <f t="shared" ref="DU223:DY223" si="1069">+DU222+DU221+DU217+DU214+DU213+DU205+DU206+DU209+DU196+DU197+DU198+DU195+DU192+DU191+DU187</f>
        <v>0</v>
      </c>
      <c r="DV223" s="49">
        <f t="shared" si="1069"/>
        <v>0</v>
      </c>
      <c r="DW223" s="49">
        <f t="shared" si="1069"/>
        <v>0</v>
      </c>
      <c r="DX223" s="49">
        <f t="shared" si="1069"/>
        <v>0</v>
      </c>
      <c r="DY223" s="49">
        <f t="shared" si="1069"/>
        <v>0</v>
      </c>
    </row>
    <row r="224" spans="1:129" ht="18.75">
      <c r="A224" s="59">
        <v>30</v>
      </c>
      <c r="B224" s="59"/>
      <c r="C224" s="60"/>
      <c r="D224" s="61" t="s">
        <v>363</v>
      </c>
      <c r="E224" s="62" t="s">
        <v>308</v>
      </c>
      <c r="F224" s="81">
        <v>0</v>
      </c>
      <c r="G224" s="81">
        <v>0</v>
      </c>
      <c r="H224" s="81">
        <v>0</v>
      </c>
      <c r="I224" s="63">
        <v>0</v>
      </c>
      <c r="J224" s="95"/>
      <c r="K224" s="87"/>
      <c r="L224" s="87"/>
      <c r="M224" s="87"/>
      <c r="N224" s="87"/>
      <c r="O224" s="87"/>
      <c r="P224" s="87"/>
      <c r="Q224" s="87"/>
      <c r="R224" s="87"/>
      <c r="S224" s="87"/>
      <c r="V224" s="63">
        <v>0</v>
      </c>
      <c r="W224" s="17">
        <f t="shared" ref="W224" si="1070">+U224+V224</f>
        <v>0</v>
      </c>
      <c r="X224" s="108">
        <f t="shared" si="917"/>
        <v>0</v>
      </c>
      <c r="Y224" s="108">
        <f t="shared" si="918"/>
        <v>0</v>
      </c>
      <c r="Z224" s="108"/>
      <c r="AA224" s="108"/>
      <c r="AB224" s="108">
        <f t="shared" si="919"/>
        <v>0</v>
      </c>
      <c r="AC224" s="109">
        <f t="shared" si="920"/>
        <v>0</v>
      </c>
      <c r="AD224" s="108"/>
      <c r="AE224" s="108"/>
      <c r="AF224" s="108">
        <f t="shared" si="921"/>
        <v>0</v>
      </c>
      <c r="AG224" s="108">
        <f t="shared" si="922"/>
        <v>0</v>
      </c>
      <c r="AH224" s="108">
        <f t="shared" si="923"/>
        <v>0</v>
      </c>
      <c r="AI224" s="127">
        <f t="shared" si="924"/>
        <v>0</v>
      </c>
      <c r="AJ224" s="108">
        <f t="shared" si="925"/>
        <v>0</v>
      </c>
      <c r="AM224" s="108">
        <f t="shared" si="926"/>
        <v>0</v>
      </c>
      <c r="AN224" s="108">
        <f t="shared" si="927"/>
        <v>0</v>
      </c>
      <c r="AQ224" s="108">
        <f t="shared" si="928"/>
        <v>0</v>
      </c>
      <c r="AR224" s="108">
        <f t="shared" si="929"/>
        <v>0</v>
      </c>
      <c r="AU224" s="108">
        <f t="shared" si="1054"/>
        <v>0</v>
      </c>
      <c r="AV224" s="108">
        <f t="shared" si="995"/>
        <v>0</v>
      </c>
      <c r="AY224" s="108">
        <f t="shared" si="903"/>
        <v>0</v>
      </c>
      <c r="AZ224" s="108">
        <f t="shared" si="904"/>
        <v>0</v>
      </c>
      <c r="BA224" s="108">
        <f t="shared" si="905"/>
        <v>0</v>
      </c>
      <c r="BD224" s="139">
        <f t="shared" si="906"/>
        <v>0</v>
      </c>
      <c r="BE224" s="139">
        <f t="shared" si="907"/>
        <v>0</v>
      </c>
      <c r="BF224" s="139">
        <f t="shared" si="908"/>
        <v>0</v>
      </c>
      <c r="BG224" s="139">
        <f t="shared" si="909"/>
        <v>0</v>
      </c>
      <c r="BH224" s="108">
        <v>0</v>
      </c>
      <c r="BI224" s="108">
        <v>0</v>
      </c>
      <c r="BL224" s="108">
        <f t="shared" si="948"/>
        <v>0</v>
      </c>
      <c r="BM224" s="108">
        <f t="shared" si="951"/>
        <v>0</v>
      </c>
      <c r="BN224" s="108">
        <f t="shared" si="952"/>
        <v>0</v>
      </c>
      <c r="BO224" s="108">
        <v>0</v>
      </c>
      <c r="BP224" s="127">
        <f t="shared" ref="BP224" si="1071">+BK224+BB224+BM224</f>
        <v>0</v>
      </c>
      <c r="BQ224" s="108">
        <f t="shared" si="953"/>
        <v>0</v>
      </c>
      <c r="BR224" s="108">
        <f t="shared" si="954"/>
        <v>0</v>
      </c>
      <c r="BS224" s="108">
        <f t="shared" si="955"/>
        <v>0</v>
      </c>
      <c r="BT224" s="108">
        <f t="shared" si="956"/>
        <v>0</v>
      </c>
      <c r="BU224" s="108">
        <f t="shared" si="987"/>
        <v>0</v>
      </c>
      <c r="BV224" s="108">
        <v>0</v>
      </c>
      <c r="CA224" s="108">
        <v>0</v>
      </c>
      <c r="CB224" s="108">
        <v>0</v>
      </c>
      <c r="CC224">
        <v>0</v>
      </c>
      <c r="CD224">
        <v>0</v>
      </c>
      <c r="CE224" s="189">
        <v>0</v>
      </c>
      <c r="CF224" s="189">
        <v>0</v>
      </c>
      <c r="CG224" s="189">
        <f t="shared" si="957"/>
        <v>0</v>
      </c>
      <c r="CH224" s="189">
        <f t="shared" si="958"/>
        <v>0</v>
      </c>
      <c r="CI224" s="150"/>
      <c r="CJ224" s="150"/>
      <c r="CK224" s="150">
        <v>0</v>
      </c>
      <c r="CL224" s="150">
        <v>0</v>
      </c>
      <c r="CM224" s="150"/>
      <c r="CN224" s="150"/>
      <c r="CO224" s="150">
        <v>0</v>
      </c>
      <c r="CP224" s="150">
        <v>0</v>
      </c>
      <c r="CQ224" s="150">
        <f t="shared" si="959"/>
        <v>0</v>
      </c>
      <c r="CR224" s="150">
        <f t="shared" si="960"/>
        <v>0</v>
      </c>
      <c r="CS224" s="150">
        <f t="shared" si="961"/>
        <v>0</v>
      </c>
      <c r="CT224" s="150">
        <f t="shared" si="962"/>
        <v>0</v>
      </c>
      <c r="CU224" s="150">
        <v>0</v>
      </c>
      <c r="CV224" s="150">
        <v>0</v>
      </c>
      <c r="CW224" s="150">
        <f t="shared" si="963"/>
        <v>0</v>
      </c>
      <c r="CX224" s="150">
        <f t="shared" si="963"/>
        <v>0</v>
      </c>
      <c r="CY224" s="150"/>
      <c r="CZ224" s="150"/>
      <c r="DA224" s="150">
        <f t="shared" si="964"/>
        <v>0</v>
      </c>
      <c r="DB224" s="150">
        <f t="shared" si="965"/>
        <v>0</v>
      </c>
      <c r="DC224" s="150"/>
      <c r="DD224" s="150"/>
      <c r="DE224" s="150">
        <f t="shared" si="966"/>
        <v>0</v>
      </c>
      <c r="DF224" s="150">
        <f t="shared" si="967"/>
        <v>0</v>
      </c>
      <c r="DG224" s="150">
        <f>ROUND(0.25*(MIN(CU224,DO224)),2)</f>
        <v>0</v>
      </c>
      <c r="DH224" s="150">
        <f>ROUND(0.25*(MIN(CV224,DP224)),2)</f>
        <v>0</v>
      </c>
      <c r="DI224" s="150">
        <f>+DG224-DE224</f>
        <v>0</v>
      </c>
      <c r="DJ224" s="150">
        <f>+DH224-DF224</f>
        <v>0</v>
      </c>
      <c r="DK224" s="104">
        <f t="shared" si="839"/>
        <v>0</v>
      </c>
      <c r="DL224" s="104">
        <f t="shared" si="840"/>
        <v>0</v>
      </c>
      <c r="DM224" s="104">
        <f t="shared" si="949"/>
        <v>0</v>
      </c>
      <c r="DN224" s="104">
        <f t="shared" si="950"/>
        <v>0</v>
      </c>
      <c r="DO224" s="104">
        <v>0</v>
      </c>
      <c r="DP224" s="104">
        <v>0</v>
      </c>
      <c r="DQ224" s="104">
        <v>0</v>
      </c>
      <c r="DR224" s="104">
        <v>0</v>
      </c>
    </row>
    <row r="225" spans="1:125" ht="37.5">
      <c r="A225" s="45"/>
      <c r="B225" s="45" t="s">
        <v>364</v>
      </c>
      <c r="C225" s="46"/>
      <c r="D225" s="47" t="s">
        <v>365</v>
      </c>
      <c r="E225" s="48" t="s">
        <v>366</v>
      </c>
      <c r="F225" s="49">
        <v>0</v>
      </c>
      <c r="G225" s="49">
        <v>0</v>
      </c>
      <c r="H225" s="49">
        <v>0</v>
      </c>
      <c r="I225" s="49">
        <v>0</v>
      </c>
      <c r="J225" s="92">
        <f t="shared" ref="J225:AA225" si="1072">J224</f>
        <v>0</v>
      </c>
      <c r="K225" s="92">
        <f t="shared" si="1072"/>
        <v>0</v>
      </c>
      <c r="L225" s="92">
        <f t="shared" si="1072"/>
        <v>0</v>
      </c>
      <c r="M225" s="92">
        <f t="shared" si="1072"/>
        <v>0</v>
      </c>
      <c r="N225" s="92">
        <f t="shared" si="1072"/>
        <v>0</v>
      </c>
      <c r="O225" s="92">
        <f t="shared" si="1072"/>
        <v>0</v>
      </c>
      <c r="P225" s="92">
        <f t="shared" si="1072"/>
        <v>0</v>
      </c>
      <c r="Q225" s="92">
        <f t="shared" si="1072"/>
        <v>0</v>
      </c>
      <c r="R225" s="92">
        <f t="shared" si="1072"/>
        <v>0</v>
      </c>
      <c r="S225" s="92">
        <f t="shared" si="1072"/>
        <v>0</v>
      </c>
      <c r="T225" s="92">
        <f t="shared" si="1072"/>
        <v>0</v>
      </c>
      <c r="U225" s="92">
        <f t="shared" si="1072"/>
        <v>0</v>
      </c>
      <c r="V225" s="92">
        <f t="shared" si="1072"/>
        <v>0</v>
      </c>
      <c r="W225" s="92">
        <f t="shared" si="1072"/>
        <v>0</v>
      </c>
      <c r="X225" s="92">
        <f t="shared" si="1072"/>
        <v>0</v>
      </c>
      <c r="Y225" s="92">
        <f t="shared" si="1072"/>
        <v>0</v>
      </c>
      <c r="Z225" s="92">
        <f t="shared" si="1072"/>
        <v>0</v>
      </c>
      <c r="AA225" s="92">
        <f t="shared" si="1072"/>
        <v>0</v>
      </c>
      <c r="AB225" s="49">
        <f t="shared" si="919"/>
        <v>0</v>
      </c>
      <c r="AC225" s="109">
        <f t="shared" si="920"/>
        <v>0</v>
      </c>
      <c r="AD225" s="49">
        <f t="shared" ref="AD225:CP225" si="1073">AD224</f>
        <v>0</v>
      </c>
      <c r="AE225" s="49">
        <f t="shared" si="1073"/>
        <v>0</v>
      </c>
      <c r="AF225" s="49">
        <f t="shared" si="1073"/>
        <v>0</v>
      </c>
      <c r="AG225" s="49">
        <f t="shared" si="1073"/>
        <v>0</v>
      </c>
      <c r="AH225" s="49">
        <f t="shared" si="1073"/>
        <v>0</v>
      </c>
      <c r="AI225" s="130">
        <f t="shared" si="1073"/>
        <v>0</v>
      </c>
      <c r="AJ225" s="49">
        <f t="shared" si="1073"/>
        <v>0</v>
      </c>
      <c r="AK225" s="49">
        <f t="shared" si="1073"/>
        <v>0</v>
      </c>
      <c r="AL225" s="49">
        <f t="shared" si="1073"/>
        <v>0</v>
      </c>
      <c r="AM225" s="49">
        <f t="shared" si="1073"/>
        <v>0</v>
      </c>
      <c r="AN225" s="49">
        <f t="shared" si="1073"/>
        <v>0</v>
      </c>
      <c r="AO225" s="49">
        <f t="shared" si="1073"/>
        <v>0</v>
      </c>
      <c r="AP225" s="49">
        <f t="shared" si="1073"/>
        <v>0</v>
      </c>
      <c r="AQ225" s="49">
        <f t="shared" si="1073"/>
        <v>0</v>
      </c>
      <c r="AR225" s="49">
        <f t="shared" si="1073"/>
        <v>0</v>
      </c>
      <c r="AS225" s="49">
        <f t="shared" si="1073"/>
        <v>0</v>
      </c>
      <c r="AT225" s="49">
        <f t="shared" si="1073"/>
        <v>0</v>
      </c>
      <c r="AU225" s="49">
        <f t="shared" si="1073"/>
        <v>0</v>
      </c>
      <c r="AV225" s="49">
        <f t="shared" si="1073"/>
        <v>0</v>
      </c>
      <c r="AW225" s="49">
        <f t="shared" si="1073"/>
        <v>0</v>
      </c>
      <c r="AX225" s="49">
        <f t="shared" si="1073"/>
        <v>0</v>
      </c>
      <c r="AY225" s="49">
        <f t="shared" si="1073"/>
        <v>0</v>
      </c>
      <c r="AZ225" s="49">
        <f t="shared" si="1073"/>
        <v>0</v>
      </c>
      <c r="BA225" s="49">
        <f t="shared" si="1073"/>
        <v>0</v>
      </c>
      <c r="BB225" s="49">
        <f t="shared" si="1073"/>
        <v>0</v>
      </c>
      <c r="BC225" s="49">
        <f t="shared" si="1073"/>
        <v>0</v>
      </c>
      <c r="BD225" s="49">
        <f t="shared" si="1073"/>
        <v>0</v>
      </c>
      <c r="BE225" s="49">
        <f t="shared" si="1073"/>
        <v>0</v>
      </c>
      <c r="BF225" s="49">
        <f t="shared" si="1073"/>
        <v>0</v>
      </c>
      <c r="BG225" s="130">
        <f t="shared" si="1073"/>
        <v>0</v>
      </c>
      <c r="BH225" s="130">
        <f t="shared" si="1073"/>
        <v>0</v>
      </c>
      <c r="BI225" s="130">
        <f t="shared" si="1073"/>
        <v>0</v>
      </c>
      <c r="BJ225" s="130">
        <f t="shared" si="1073"/>
        <v>0</v>
      </c>
      <c r="BK225" s="130">
        <f t="shared" si="1073"/>
        <v>0</v>
      </c>
      <c r="BL225" s="130">
        <f t="shared" si="1073"/>
        <v>0</v>
      </c>
      <c r="BM225" s="130">
        <f t="shared" si="1073"/>
        <v>0</v>
      </c>
      <c r="BN225" s="130">
        <f t="shared" si="1073"/>
        <v>0</v>
      </c>
      <c r="BO225" s="130">
        <f t="shared" si="1073"/>
        <v>0</v>
      </c>
      <c r="BP225" s="130">
        <f t="shared" si="1073"/>
        <v>0</v>
      </c>
      <c r="BQ225" s="49">
        <f t="shared" si="1073"/>
        <v>0</v>
      </c>
      <c r="BR225" s="49">
        <f t="shared" si="1073"/>
        <v>0</v>
      </c>
      <c r="BS225" s="49">
        <f t="shared" si="1073"/>
        <v>0</v>
      </c>
      <c r="BT225" s="49">
        <f t="shared" si="1073"/>
        <v>0</v>
      </c>
      <c r="BU225" s="49">
        <f t="shared" si="1073"/>
        <v>0</v>
      </c>
      <c r="BV225" s="49">
        <f t="shared" si="1073"/>
        <v>0</v>
      </c>
      <c r="BW225" s="49">
        <f t="shared" si="1073"/>
        <v>0</v>
      </c>
      <c r="BX225" s="49">
        <f t="shared" si="1073"/>
        <v>0</v>
      </c>
      <c r="BY225" s="49">
        <f t="shared" si="1073"/>
        <v>0</v>
      </c>
      <c r="BZ225" s="49">
        <f t="shared" si="1073"/>
        <v>0</v>
      </c>
      <c r="CA225" s="49">
        <f t="shared" si="1073"/>
        <v>0</v>
      </c>
      <c r="CB225" s="49">
        <f t="shared" si="1073"/>
        <v>0</v>
      </c>
      <c r="CC225" s="49">
        <f t="shared" si="1073"/>
        <v>0</v>
      </c>
      <c r="CD225" s="130">
        <f t="shared" si="1073"/>
        <v>0</v>
      </c>
      <c r="CE225" s="191">
        <f t="shared" si="1073"/>
        <v>0</v>
      </c>
      <c r="CF225" s="191">
        <f t="shared" si="1073"/>
        <v>0</v>
      </c>
      <c r="CG225" s="191">
        <f t="shared" si="1073"/>
        <v>0</v>
      </c>
      <c r="CH225" s="191">
        <f t="shared" si="1073"/>
        <v>0</v>
      </c>
      <c r="CI225" s="191">
        <f t="shared" si="1073"/>
        <v>0</v>
      </c>
      <c r="CJ225" s="191">
        <f t="shared" si="1073"/>
        <v>0</v>
      </c>
      <c r="CK225" s="191">
        <f t="shared" si="1073"/>
        <v>0</v>
      </c>
      <c r="CL225" s="191">
        <f t="shared" si="1073"/>
        <v>0</v>
      </c>
      <c r="CM225" s="191">
        <f t="shared" si="1073"/>
        <v>0</v>
      </c>
      <c r="CN225" s="191">
        <f t="shared" si="1073"/>
        <v>0</v>
      </c>
      <c r="CO225" s="191">
        <f t="shared" si="1073"/>
        <v>0</v>
      </c>
      <c r="CP225" s="191">
        <f t="shared" si="1073"/>
        <v>0</v>
      </c>
      <c r="CQ225" s="191">
        <f t="shared" ref="CQ225:DU225" si="1074">CQ224</f>
        <v>0</v>
      </c>
      <c r="CR225" s="191">
        <f t="shared" si="1074"/>
        <v>0</v>
      </c>
      <c r="CS225" s="191">
        <f t="shared" si="1074"/>
        <v>0</v>
      </c>
      <c r="CT225" s="191">
        <f t="shared" si="1074"/>
        <v>0</v>
      </c>
      <c r="CU225" s="191">
        <f t="shared" si="1074"/>
        <v>0</v>
      </c>
      <c r="CV225" s="191">
        <f t="shared" si="1074"/>
        <v>0</v>
      </c>
      <c r="CW225" s="191">
        <f t="shared" si="1074"/>
        <v>0</v>
      </c>
      <c r="CX225" s="191">
        <f t="shared" si="1074"/>
        <v>0</v>
      </c>
      <c r="CY225" s="191">
        <f t="shared" si="1074"/>
        <v>0</v>
      </c>
      <c r="CZ225" s="191">
        <f t="shared" si="1074"/>
        <v>0</v>
      </c>
      <c r="DA225" s="191">
        <f t="shared" si="1074"/>
        <v>0</v>
      </c>
      <c r="DB225" s="191">
        <f t="shared" si="1074"/>
        <v>0</v>
      </c>
      <c r="DC225" s="191">
        <f t="shared" si="1074"/>
        <v>0</v>
      </c>
      <c r="DD225" s="191">
        <f t="shared" si="1074"/>
        <v>0</v>
      </c>
      <c r="DE225" s="191">
        <f t="shared" si="1074"/>
        <v>0</v>
      </c>
      <c r="DF225" s="191">
        <f t="shared" si="1074"/>
        <v>0</v>
      </c>
      <c r="DG225" s="191">
        <f t="shared" si="1074"/>
        <v>0</v>
      </c>
      <c r="DH225" s="191">
        <f t="shared" si="1074"/>
        <v>0</v>
      </c>
      <c r="DI225" s="191">
        <f t="shared" si="1074"/>
        <v>0</v>
      </c>
      <c r="DJ225" s="191">
        <f t="shared" si="1074"/>
        <v>0</v>
      </c>
      <c r="DK225" s="104">
        <f t="shared" si="839"/>
        <v>0</v>
      </c>
      <c r="DL225" s="104">
        <f t="shared" si="840"/>
        <v>0</v>
      </c>
      <c r="DM225" s="104">
        <f t="shared" si="949"/>
        <v>0</v>
      </c>
      <c r="DN225" s="104">
        <f t="shared" si="950"/>
        <v>0</v>
      </c>
      <c r="DO225" s="49">
        <f t="shared" si="1074"/>
        <v>0</v>
      </c>
      <c r="DP225" s="49">
        <f t="shared" si="1074"/>
        <v>0</v>
      </c>
      <c r="DQ225" s="49">
        <f t="shared" si="1074"/>
        <v>0</v>
      </c>
      <c r="DR225" s="49">
        <f t="shared" si="1074"/>
        <v>0</v>
      </c>
      <c r="DS225" s="49">
        <f t="shared" si="1074"/>
        <v>0</v>
      </c>
      <c r="DT225" s="49">
        <f t="shared" si="1074"/>
        <v>0</v>
      </c>
      <c r="DU225" s="49">
        <f t="shared" si="1074"/>
        <v>0</v>
      </c>
    </row>
    <row r="226" spans="1:125" ht="18.75">
      <c r="A226" s="13">
        <v>1</v>
      </c>
      <c r="B226" s="13"/>
      <c r="C226" s="14"/>
      <c r="D226" s="15" t="s">
        <v>367</v>
      </c>
      <c r="E226" s="16"/>
      <c r="F226" s="81">
        <v>2280</v>
      </c>
      <c r="G226" s="81">
        <v>1981.3200000000002</v>
      </c>
      <c r="H226" s="81">
        <v>2280</v>
      </c>
      <c r="I226" s="17">
        <v>1981.3200000000002</v>
      </c>
      <c r="J226" s="86">
        <v>2400</v>
      </c>
      <c r="K226" s="87">
        <v>0</v>
      </c>
      <c r="L226" s="87">
        <v>0</v>
      </c>
      <c r="M226" s="87">
        <f t="shared" ref="M226:M227" si="1075">J226+K226+L226</f>
        <v>2400</v>
      </c>
      <c r="N226" s="87">
        <v>0</v>
      </c>
      <c r="O226" s="87">
        <v>0</v>
      </c>
      <c r="P226" s="87">
        <v>0</v>
      </c>
      <c r="Q226" s="87">
        <f t="shared" ref="Q226:Q227" si="1076">N226+O226+P226</f>
        <v>0</v>
      </c>
      <c r="R226" s="87">
        <f t="shared" ref="R226:R227" si="1077">+Q226+M226</f>
        <v>2400</v>
      </c>
      <c r="S226" s="87">
        <v>2120</v>
      </c>
      <c r="V226" s="17">
        <f t="shared" ref="V226" si="1078">ROUND(H226*1.0583,2)</f>
        <v>2412.92</v>
      </c>
      <c r="W226" s="17">
        <f t="shared" ref="W226" si="1079">ROUND(I226*1.0327,2)</f>
        <v>2046.11</v>
      </c>
      <c r="X226" s="108">
        <f t="shared" si="917"/>
        <v>-12.920000000000073</v>
      </c>
      <c r="Y226" s="108">
        <f t="shared" si="918"/>
        <v>73.8900000000001</v>
      </c>
      <c r="Z226" s="108">
        <v>2400</v>
      </c>
      <c r="AA226" s="108"/>
      <c r="AB226" s="108">
        <f t="shared" si="919"/>
        <v>2400</v>
      </c>
      <c r="AC226" s="109">
        <f t="shared" si="920"/>
        <v>0</v>
      </c>
      <c r="AD226" s="108">
        <f t="shared" ref="AD226" si="1080">IF(X226&gt;0,V226,R226)</f>
        <v>2400</v>
      </c>
      <c r="AE226" s="108">
        <f t="shared" ref="AE226" si="1081">IF(Y226&gt;0,W226,S226)</f>
        <v>2046.11</v>
      </c>
      <c r="AF226" s="108">
        <f t="shared" si="921"/>
        <v>1912.66</v>
      </c>
      <c r="AG226" s="108">
        <f t="shared" si="922"/>
        <v>600</v>
      </c>
      <c r="AH226" s="108">
        <f t="shared" si="923"/>
        <v>512</v>
      </c>
      <c r="AI226" s="127">
        <f t="shared" si="924"/>
        <v>200</v>
      </c>
      <c r="AJ226" s="108">
        <f t="shared" si="925"/>
        <v>171</v>
      </c>
      <c r="AM226" s="108">
        <f>ROUND(AD226*25%,2)-100</f>
        <v>500</v>
      </c>
      <c r="AN226" s="108">
        <f t="shared" si="927"/>
        <v>498.23</v>
      </c>
      <c r="AQ226" s="108">
        <f t="shared" si="928"/>
        <v>1100</v>
      </c>
      <c r="AR226" s="108">
        <f t="shared" si="929"/>
        <v>1010.23</v>
      </c>
      <c r="AU226" s="116">
        <f t="shared" si="1054"/>
        <v>600</v>
      </c>
      <c r="AV226" s="116">
        <f>ROUND(AE226*25%,2)+164.95</f>
        <v>676.48</v>
      </c>
      <c r="AW226" s="116"/>
      <c r="AX226" s="116"/>
      <c r="AY226" s="108">
        <f t="shared" si="903"/>
        <v>1900</v>
      </c>
      <c r="AZ226" s="108">
        <f t="shared" si="904"/>
        <v>1857.71</v>
      </c>
      <c r="BA226" s="108">
        <f t="shared" si="905"/>
        <v>3757.71</v>
      </c>
      <c r="BB226" s="152">
        <v>1879</v>
      </c>
      <c r="BC226" s="139">
        <v>1903.81</v>
      </c>
      <c r="BD226" s="139">
        <f t="shared" si="906"/>
        <v>21</v>
      </c>
      <c r="BE226" s="139">
        <f t="shared" si="907"/>
        <v>-46.099999999999909</v>
      </c>
      <c r="BF226" s="139">
        <f t="shared" si="908"/>
        <v>375.8</v>
      </c>
      <c r="BG226" s="139">
        <f t="shared" si="909"/>
        <v>380.76</v>
      </c>
      <c r="BH226" s="108">
        <v>195.69</v>
      </c>
      <c r="BI226" s="108">
        <v>175</v>
      </c>
      <c r="BL226" s="108">
        <f t="shared" si="948"/>
        <v>2095.69</v>
      </c>
      <c r="BM226" s="108">
        <f t="shared" si="951"/>
        <v>2032.71</v>
      </c>
      <c r="BN226" s="108">
        <f t="shared" si="952"/>
        <v>4128.3999999999996</v>
      </c>
      <c r="BO226" s="108">
        <v>2094.9499999999998</v>
      </c>
      <c r="BP226" s="127">
        <v>2058.23</v>
      </c>
      <c r="BQ226" s="108">
        <f t="shared" si="953"/>
        <v>0.74000000000023647</v>
      </c>
      <c r="BR226" s="108">
        <f t="shared" si="954"/>
        <v>-25.519999999999982</v>
      </c>
      <c r="BS226" s="108">
        <f t="shared" si="955"/>
        <v>190.45</v>
      </c>
      <c r="BT226" s="108">
        <f t="shared" si="956"/>
        <v>187.11</v>
      </c>
      <c r="BU226" s="143">
        <v>224.31</v>
      </c>
      <c r="BV226" s="143">
        <v>177.29</v>
      </c>
      <c r="BW226" s="143"/>
      <c r="BX226" s="143"/>
      <c r="BY226" s="143"/>
      <c r="BZ226" s="143"/>
      <c r="CA226" s="108">
        <v>2320</v>
      </c>
      <c r="CB226" s="108">
        <v>2210</v>
      </c>
      <c r="CC226">
        <v>2552</v>
      </c>
      <c r="CD226">
        <v>2541.5</v>
      </c>
      <c r="CE226" s="189">
        <v>213</v>
      </c>
      <c r="CF226" s="189">
        <v>212</v>
      </c>
      <c r="CG226" s="189">
        <f t="shared" si="957"/>
        <v>580</v>
      </c>
      <c r="CH226" s="189">
        <f t="shared" si="958"/>
        <v>552.5</v>
      </c>
      <c r="CI226" s="150"/>
      <c r="CJ226" s="150"/>
      <c r="CK226" s="150">
        <v>630</v>
      </c>
      <c r="CL226" s="150">
        <v>638</v>
      </c>
      <c r="CM226" s="150"/>
      <c r="CN226" s="150"/>
      <c r="CO226" s="150">
        <v>2500</v>
      </c>
      <c r="CP226" s="150">
        <v>2200</v>
      </c>
      <c r="CQ226" s="150">
        <f t="shared" si="959"/>
        <v>2520</v>
      </c>
      <c r="CR226" s="150">
        <f t="shared" si="960"/>
        <v>2552</v>
      </c>
      <c r="CS226" s="150">
        <f t="shared" si="961"/>
        <v>2500</v>
      </c>
      <c r="CT226" s="150">
        <f t="shared" si="962"/>
        <v>2200</v>
      </c>
      <c r="CU226" s="150">
        <v>2625</v>
      </c>
      <c r="CV226" s="150">
        <v>2270</v>
      </c>
      <c r="CW226" s="150">
        <f t="shared" si="963"/>
        <v>656.25</v>
      </c>
      <c r="CX226" s="150">
        <f t="shared" si="963"/>
        <v>567.5</v>
      </c>
      <c r="CY226" s="150"/>
      <c r="CZ226" s="150"/>
      <c r="DA226" s="150">
        <f t="shared" si="964"/>
        <v>1499.25</v>
      </c>
      <c r="DB226" s="150">
        <f t="shared" si="965"/>
        <v>1417.5</v>
      </c>
      <c r="DC226" s="150">
        <v>1544.59</v>
      </c>
      <c r="DD226" s="150">
        <v>1308.1600000000001</v>
      </c>
      <c r="DE226" s="150">
        <f t="shared" si="966"/>
        <v>-45.339999999999918</v>
      </c>
      <c r="DF226" s="150">
        <f t="shared" si="967"/>
        <v>109.33999999999992</v>
      </c>
      <c r="DG226" s="150">
        <f>ROUND(0.25*(MIN(CU226,DO226)),2)</f>
        <v>656.25</v>
      </c>
      <c r="DH226" s="150">
        <f>ROUND(0.25*(MIN(CV226,DP226)),2)</f>
        <v>567.5</v>
      </c>
      <c r="DI226" s="150">
        <f>+DG226-DE226</f>
        <v>701.58999999999992</v>
      </c>
      <c r="DJ226" s="150">
        <f>+DH226-DF226</f>
        <v>458.16000000000008</v>
      </c>
      <c r="DK226" s="104">
        <f t="shared" si="839"/>
        <v>479.16000000000008</v>
      </c>
      <c r="DL226" s="104">
        <f t="shared" si="840"/>
        <v>494.33999999999992</v>
      </c>
      <c r="DM226" s="104">
        <f t="shared" si="949"/>
        <v>424.16000000000008</v>
      </c>
      <c r="DN226" s="104">
        <f t="shared" si="950"/>
        <v>394.33999999999992</v>
      </c>
      <c r="DO226" s="184">
        <v>2680</v>
      </c>
      <c r="DP226" s="104">
        <v>2370</v>
      </c>
      <c r="DQ226" s="104">
        <v>3070</v>
      </c>
      <c r="DR226" s="104">
        <v>2600</v>
      </c>
    </row>
    <row r="227" spans="1:125" ht="18.75">
      <c r="A227" s="13">
        <v>2</v>
      </c>
      <c r="B227" s="13"/>
      <c r="C227" s="14"/>
      <c r="D227" s="15" t="s">
        <v>368</v>
      </c>
      <c r="E227" s="16"/>
      <c r="F227" s="81">
        <v>0</v>
      </c>
      <c r="G227" s="81">
        <v>0</v>
      </c>
      <c r="H227" s="81">
        <v>0</v>
      </c>
      <c r="I227" s="17">
        <v>0</v>
      </c>
      <c r="J227" s="86">
        <v>0</v>
      </c>
      <c r="K227" s="87">
        <v>0</v>
      </c>
      <c r="L227" s="87">
        <v>0</v>
      </c>
      <c r="M227" s="87">
        <f t="shared" si="1075"/>
        <v>0</v>
      </c>
      <c r="N227" s="87">
        <v>0</v>
      </c>
      <c r="O227" s="87">
        <v>0</v>
      </c>
      <c r="P227" s="87">
        <v>0</v>
      </c>
      <c r="Q227" s="87">
        <f t="shared" si="1076"/>
        <v>0</v>
      </c>
      <c r="R227" s="87">
        <f t="shared" si="1077"/>
        <v>0</v>
      </c>
      <c r="S227" s="87"/>
      <c r="V227" s="17">
        <f t="shared" ref="V227" si="1082">ROUND(H227*1.0583,2)</f>
        <v>0</v>
      </c>
      <c r="W227" s="17">
        <f t="shared" ref="W227" si="1083">ROUND(I227*1.0327,2)</f>
        <v>0</v>
      </c>
      <c r="X227" s="108">
        <f t="shared" si="917"/>
        <v>0</v>
      </c>
      <c r="Y227" s="108">
        <f t="shared" si="918"/>
        <v>0</v>
      </c>
      <c r="Z227" s="108">
        <v>0</v>
      </c>
      <c r="AA227" s="108"/>
      <c r="AB227" s="108">
        <f t="shared" si="919"/>
        <v>0</v>
      </c>
      <c r="AC227" s="109">
        <f t="shared" si="920"/>
        <v>0</v>
      </c>
      <c r="AD227" s="108">
        <f t="shared" ref="AD227" si="1084">IF(X227&gt;0,V227,R227)</f>
        <v>0</v>
      </c>
      <c r="AE227" s="108">
        <f t="shared" ref="AE227" si="1085">IF(Y227&gt;0,W227,S227)</f>
        <v>0</v>
      </c>
      <c r="AF227" s="108">
        <f t="shared" si="921"/>
        <v>0</v>
      </c>
      <c r="AG227" s="108">
        <f t="shared" si="922"/>
        <v>0</v>
      </c>
      <c r="AH227" s="108">
        <f t="shared" si="923"/>
        <v>0</v>
      </c>
      <c r="AI227" s="127">
        <f t="shared" si="924"/>
        <v>0</v>
      </c>
      <c r="AJ227" s="108">
        <f t="shared" si="925"/>
        <v>0</v>
      </c>
      <c r="AM227" s="108">
        <f t="shared" si="926"/>
        <v>0</v>
      </c>
      <c r="AN227" s="108">
        <f t="shared" si="927"/>
        <v>0</v>
      </c>
      <c r="AQ227" s="108">
        <f t="shared" si="928"/>
        <v>0</v>
      </c>
      <c r="AR227" s="108">
        <f t="shared" si="929"/>
        <v>0</v>
      </c>
      <c r="AU227" s="108">
        <f t="shared" si="1054"/>
        <v>0</v>
      </c>
      <c r="AV227" s="108">
        <f t="shared" si="995"/>
        <v>0</v>
      </c>
      <c r="AY227" s="108">
        <f t="shared" si="903"/>
        <v>0</v>
      </c>
      <c r="AZ227" s="108">
        <f t="shared" si="904"/>
        <v>0</v>
      </c>
      <c r="BA227" s="108">
        <f t="shared" si="905"/>
        <v>0</v>
      </c>
      <c r="BB227" s="152">
        <v>0</v>
      </c>
      <c r="BD227" s="139">
        <f t="shared" si="906"/>
        <v>0</v>
      </c>
      <c r="BE227" s="139">
        <f t="shared" si="907"/>
        <v>0</v>
      </c>
      <c r="BF227" s="139">
        <f t="shared" si="908"/>
        <v>0</v>
      </c>
      <c r="BG227" s="139">
        <f t="shared" si="909"/>
        <v>0</v>
      </c>
      <c r="BH227" s="108">
        <v>0</v>
      </c>
      <c r="BI227" s="108">
        <v>0</v>
      </c>
      <c r="BL227" s="108">
        <f t="shared" si="948"/>
        <v>0</v>
      </c>
      <c r="BM227" s="108">
        <f t="shared" si="951"/>
        <v>0</v>
      </c>
      <c r="BN227" s="108">
        <f t="shared" si="952"/>
        <v>0</v>
      </c>
      <c r="BO227" s="108">
        <v>0</v>
      </c>
      <c r="BP227" s="127"/>
      <c r="BQ227" s="108">
        <f t="shared" si="953"/>
        <v>0</v>
      </c>
      <c r="BR227" s="108">
        <f t="shared" si="954"/>
        <v>0</v>
      </c>
      <c r="BS227" s="108">
        <f t="shared" si="955"/>
        <v>0</v>
      </c>
      <c r="BT227" s="108">
        <f t="shared" si="956"/>
        <v>0</v>
      </c>
      <c r="BU227" s="108">
        <f t="shared" si="987"/>
        <v>0</v>
      </c>
      <c r="BV227" s="108">
        <v>0</v>
      </c>
      <c r="CA227" s="108">
        <v>0</v>
      </c>
      <c r="CB227" s="108">
        <v>0</v>
      </c>
      <c r="CC227">
        <v>0</v>
      </c>
      <c r="CD227">
        <v>0</v>
      </c>
      <c r="CE227" s="189">
        <v>0</v>
      </c>
      <c r="CF227" s="189">
        <v>0</v>
      </c>
      <c r="CG227" s="189">
        <f t="shared" si="957"/>
        <v>0</v>
      </c>
      <c r="CH227" s="189">
        <f t="shared" si="958"/>
        <v>0</v>
      </c>
      <c r="CI227" s="150"/>
      <c r="CJ227" s="150"/>
      <c r="CK227" s="150">
        <v>0</v>
      </c>
      <c r="CL227" s="150">
        <v>0</v>
      </c>
      <c r="CM227" s="150"/>
      <c r="CN227" s="150"/>
      <c r="CO227" s="150"/>
      <c r="CP227" s="150"/>
      <c r="CQ227" s="150">
        <f t="shared" si="959"/>
        <v>0</v>
      </c>
      <c r="CR227" s="150">
        <f t="shared" si="960"/>
        <v>0</v>
      </c>
      <c r="CS227" s="150">
        <f t="shared" si="961"/>
        <v>0</v>
      </c>
      <c r="CT227" s="150">
        <f t="shared" si="962"/>
        <v>0</v>
      </c>
      <c r="CU227" s="150">
        <f t="shared" ref="CU227" si="1086">IF(CQ227&lt;CS227,CQ227,CS227)</f>
        <v>0</v>
      </c>
      <c r="CV227" s="150">
        <f t="shared" ref="CV227" si="1087">IF(CR227&lt;CT227,CR227,CT227)</f>
        <v>0</v>
      </c>
      <c r="CW227" s="150">
        <f t="shared" si="963"/>
        <v>0</v>
      </c>
      <c r="CX227" s="150">
        <f t="shared" si="963"/>
        <v>0</v>
      </c>
      <c r="CY227" s="150"/>
      <c r="CZ227" s="150"/>
      <c r="DA227" s="150">
        <f t="shared" si="964"/>
        <v>0</v>
      </c>
      <c r="DB227" s="150">
        <f t="shared" si="965"/>
        <v>0</v>
      </c>
      <c r="DC227" s="150">
        <v>0</v>
      </c>
      <c r="DD227" s="150">
        <v>0</v>
      </c>
      <c r="DE227" s="150">
        <f t="shared" si="966"/>
        <v>0</v>
      </c>
      <c r="DF227" s="150">
        <f t="shared" si="967"/>
        <v>0</v>
      </c>
      <c r="DG227" s="150">
        <f>ROUND(0.25*(MIN(CU227,DO227)),2)</f>
        <v>0</v>
      </c>
      <c r="DH227" s="150">
        <f>ROUND(0.25*(MIN(CV227,DP227)),2)</f>
        <v>0</v>
      </c>
      <c r="DI227" s="150">
        <f>+DG227-DE227</f>
        <v>0</v>
      </c>
      <c r="DJ227" s="150">
        <f>+DH227-DF227</f>
        <v>0</v>
      </c>
      <c r="DK227" s="104">
        <f t="shared" si="839"/>
        <v>0</v>
      </c>
      <c r="DL227" s="104">
        <f t="shared" si="840"/>
        <v>0</v>
      </c>
      <c r="DM227" s="104">
        <f t="shared" si="949"/>
        <v>0</v>
      </c>
      <c r="DN227" s="104">
        <f t="shared" si="950"/>
        <v>0</v>
      </c>
      <c r="DO227" s="104">
        <v>0</v>
      </c>
      <c r="DP227" s="104">
        <v>0</v>
      </c>
      <c r="DQ227" s="104">
        <v>0</v>
      </c>
      <c r="DR227" s="104">
        <v>0</v>
      </c>
    </row>
    <row r="228" spans="1:125" ht="18.75">
      <c r="A228" s="18"/>
      <c r="B228" s="18" t="s">
        <v>369</v>
      </c>
      <c r="C228" s="19" t="s">
        <v>64</v>
      </c>
      <c r="D228" s="20" t="s">
        <v>367</v>
      </c>
      <c r="E228" s="21" t="s">
        <v>370</v>
      </c>
      <c r="F228" s="22">
        <v>2280</v>
      </c>
      <c r="G228" s="22">
        <v>1981.3200000000002</v>
      </c>
      <c r="H228" s="22">
        <v>2280</v>
      </c>
      <c r="I228" s="22">
        <v>1981.3200000000002</v>
      </c>
      <c r="J228" s="88">
        <f t="shared" ref="J228:AA228" si="1088">+J226+J227</f>
        <v>2400</v>
      </c>
      <c r="K228" s="88">
        <f t="shared" si="1088"/>
        <v>0</v>
      </c>
      <c r="L228" s="88">
        <f t="shared" si="1088"/>
        <v>0</v>
      </c>
      <c r="M228" s="88">
        <f t="shared" si="1088"/>
        <v>2400</v>
      </c>
      <c r="N228" s="88">
        <f t="shared" si="1088"/>
        <v>0</v>
      </c>
      <c r="O228" s="88">
        <f t="shared" si="1088"/>
        <v>0</v>
      </c>
      <c r="P228" s="88">
        <f t="shared" si="1088"/>
        <v>0</v>
      </c>
      <c r="Q228" s="88">
        <f t="shared" si="1088"/>
        <v>0</v>
      </c>
      <c r="R228" s="88">
        <f t="shared" si="1088"/>
        <v>2400</v>
      </c>
      <c r="S228" s="88">
        <f t="shared" si="1088"/>
        <v>2120</v>
      </c>
      <c r="T228" s="88">
        <f t="shared" si="1088"/>
        <v>0</v>
      </c>
      <c r="U228" s="88">
        <f t="shared" si="1088"/>
        <v>0</v>
      </c>
      <c r="V228" s="88">
        <f t="shared" si="1088"/>
        <v>2412.92</v>
      </c>
      <c r="W228" s="88">
        <f t="shared" si="1088"/>
        <v>2046.11</v>
      </c>
      <c r="X228" s="88">
        <f t="shared" si="1088"/>
        <v>-12.920000000000073</v>
      </c>
      <c r="Y228" s="88">
        <f t="shared" si="1088"/>
        <v>73.8900000000001</v>
      </c>
      <c r="Z228" s="88">
        <f t="shared" si="1088"/>
        <v>2400</v>
      </c>
      <c r="AA228" s="88">
        <f t="shared" si="1088"/>
        <v>0</v>
      </c>
      <c r="AB228" s="22">
        <f t="shared" si="919"/>
        <v>2400</v>
      </c>
      <c r="AC228" s="109">
        <f t="shared" si="920"/>
        <v>0</v>
      </c>
      <c r="AD228" s="22">
        <f t="shared" ref="AD228:CP228" si="1089">+AD226+AD227</f>
        <v>2400</v>
      </c>
      <c r="AE228" s="22">
        <f t="shared" si="1089"/>
        <v>2046.11</v>
      </c>
      <c r="AF228" s="22">
        <f t="shared" si="1089"/>
        <v>1912.66</v>
      </c>
      <c r="AG228" s="22">
        <f t="shared" si="1089"/>
        <v>600</v>
      </c>
      <c r="AH228" s="22">
        <f t="shared" si="1089"/>
        <v>512</v>
      </c>
      <c r="AI228" s="118">
        <f t="shared" si="1089"/>
        <v>200</v>
      </c>
      <c r="AJ228" s="22">
        <f t="shared" si="1089"/>
        <v>171</v>
      </c>
      <c r="AK228" s="22">
        <f t="shared" si="1089"/>
        <v>0</v>
      </c>
      <c r="AL228" s="22">
        <f t="shared" si="1089"/>
        <v>0</v>
      </c>
      <c r="AM228" s="22">
        <f t="shared" si="1089"/>
        <v>500</v>
      </c>
      <c r="AN228" s="22">
        <f t="shared" si="1089"/>
        <v>498.23</v>
      </c>
      <c r="AO228" s="22">
        <f t="shared" si="1089"/>
        <v>0</v>
      </c>
      <c r="AP228" s="22">
        <f t="shared" si="1089"/>
        <v>0</v>
      </c>
      <c r="AQ228" s="22">
        <f t="shared" si="1089"/>
        <v>1100</v>
      </c>
      <c r="AR228" s="22">
        <f t="shared" si="1089"/>
        <v>1010.23</v>
      </c>
      <c r="AS228" s="22">
        <f t="shared" si="1089"/>
        <v>0</v>
      </c>
      <c r="AT228" s="22">
        <f t="shared" si="1089"/>
        <v>0</v>
      </c>
      <c r="AU228" s="22">
        <f t="shared" si="1089"/>
        <v>600</v>
      </c>
      <c r="AV228" s="22">
        <f t="shared" si="1089"/>
        <v>676.48</v>
      </c>
      <c r="AW228" s="22">
        <f t="shared" si="1089"/>
        <v>0</v>
      </c>
      <c r="AX228" s="22">
        <f t="shared" si="1089"/>
        <v>0</v>
      </c>
      <c r="AY228" s="22">
        <f t="shared" si="1089"/>
        <v>1900</v>
      </c>
      <c r="AZ228" s="22">
        <f t="shared" si="1089"/>
        <v>1857.71</v>
      </c>
      <c r="BA228" s="22">
        <f t="shared" si="1089"/>
        <v>3757.71</v>
      </c>
      <c r="BB228" s="22">
        <f t="shared" si="1089"/>
        <v>1879</v>
      </c>
      <c r="BC228" s="22">
        <f t="shared" si="1089"/>
        <v>1903.81</v>
      </c>
      <c r="BD228" s="22">
        <f t="shared" si="1089"/>
        <v>21</v>
      </c>
      <c r="BE228" s="22">
        <f t="shared" si="1089"/>
        <v>-46.099999999999909</v>
      </c>
      <c r="BF228" s="22">
        <f t="shared" si="1089"/>
        <v>375.8</v>
      </c>
      <c r="BG228" s="118">
        <f t="shared" si="1089"/>
        <v>380.76</v>
      </c>
      <c r="BH228" s="118">
        <f t="shared" si="1089"/>
        <v>195.69</v>
      </c>
      <c r="BI228" s="118">
        <f t="shared" si="1089"/>
        <v>175</v>
      </c>
      <c r="BJ228" s="118">
        <f t="shared" si="1089"/>
        <v>0</v>
      </c>
      <c r="BK228" s="118">
        <f t="shared" si="1089"/>
        <v>0</v>
      </c>
      <c r="BL228" s="118">
        <f t="shared" si="1089"/>
        <v>2095.69</v>
      </c>
      <c r="BM228" s="118">
        <f t="shared" si="1089"/>
        <v>2032.71</v>
      </c>
      <c r="BN228" s="118">
        <f t="shared" si="1089"/>
        <v>4128.3999999999996</v>
      </c>
      <c r="BO228" s="118">
        <f t="shared" si="1089"/>
        <v>2094.9499999999998</v>
      </c>
      <c r="BP228" s="118">
        <f t="shared" si="1089"/>
        <v>2058.23</v>
      </c>
      <c r="BQ228" s="22">
        <f t="shared" si="1089"/>
        <v>0.74000000000023647</v>
      </c>
      <c r="BR228" s="22">
        <f t="shared" si="1089"/>
        <v>-25.519999999999982</v>
      </c>
      <c r="BS228" s="22">
        <f t="shared" si="1089"/>
        <v>190.45</v>
      </c>
      <c r="BT228" s="22">
        <f t="shared" si="1089"/>
        <v>187.11</v>
      </c>
      <c r="BU228" s="22">
        <f t="shared" si="1089"/>
        <v>224.31</v>
      </c>
      <c r="BV228" s="22">
        <f t="shared" si="1089"/>
        <v>177.29</v>
      </c>
      <c r="BW228" s="22">
        <f t="shared" si="1089"/>
        <v>0</v>
      </c>
      <c r="BX228" s="22">
        <f t="shared" si="1089"/>
        <v>0</v>
      </c>
      <c r="BY228" s="22">
        <f t="shared" si="1089"/>
        <v>0</v>
      </c>
      <c r="BZ228" s="22">
        <f t="shared" si="1089"/>
        <v>0</v>
      </c>
      <c r="CA228" s="22">
        <f t="shared" si="1089"/>
        <v>2320</v>
      </c>
      <c r="CB228" s="22">
        <f t="shared" si="1089"/>
        <v>2210</v>
      </c>
      <c r="CC228" s="22">
        <f t="shared" si="1089"/>
        <v>2552</v>
      </c>
      <c r="CD228" s="118">
        <f t="shared" si="1089"/>
        <v>2541.5</v>
      </c>
      <c r="CE228" s="190">
        <f t="shared" si="1089"/>
        <v>213</v>
      </c>
      <c r="CF228" s="190">
        <f t="shared" si="1089"/>
        <v>212</v>
      </c>
      <c r="CG228" s="190">
        <f t="shared" si="1089"/>
        <v>580</v>
      </c>
      <c r="CH228" s="190">
        <f t="shared" si="1089"/>
        <v>552.5</v>
      </c>
      <c r="CI228" s="190">
        <f t="shared" si="1089"/>
        <v>0</v>
      </c>
      <c r="CJ228" s="190">
        <f t="shared" si="1089"/>
        <v>0</v>
      </c>
      <c r="CK228" s="190">
        <f t="shared" si="1089"/>
        <v>630</v>
      </c>
      <c r="CL228" s="190">
        <f t="shared" si="1089"/>
        <v>638</v>
      </c>
      <c r="CM228" s="190">
        <f t="shared" si="1089"/>
        <v>0</v>
      </c>
      <c r="CN228" s="190">
        <f t="shared" si="1089"/>
        <v>0</v>
      </c>
      <c r="CO228" s="190">
        <f t="shared" si="1089"/>
        <v>2500</v>
      </c>
      <c r="CP228" s="190">
        <f t="shared" si="1089"/>
        <v>2200</v>
      </c>
      <c r="CQ228" s="190">
        <f t="shared" ref="CQ228:DO228" si="1090">+CQ226+CQ227</f>
        <v>2520</v>
      </c>
      <c r="CR228" s="190">
        <f t="shared" si="1090"/>
        <v>2552</v>
      </c>
      <c r="CS228" s="190">
        <f t="shared" si="1090"/>
        <v>2500</v>
      </c>
      <c r="CT228" s="190">
        <f t="shared" si="1090"/>
        <v>2200</v>
      </c>
      <c r="CU228" s="190">
        <f t="shared" si="1090"/>
        <v>2625</v>
      </c>
      <c r="CV228" s="190">
        <f t="shared" si="1090"/>
        <v>2270</v>
      </c>
      <c r="CW228" s="190">
        <f t="shared" si="1090"/>
        <v>656.25</v>
      </c>
      <c r="CX228" s="190">
        <f t="shared" si="1090"/>
        <v>567.5</v>
      </c>
      <c r="CY228" s="190">
        <f t="shared" si="1090"/>
        <v>0</v>
      </c>
      <c r="CZ228" s="190">
        <f t="shared" si="1090"/>
        <v>0</v>
      </c>
      <c r="DA228" s="190">
        <f t="shared" si="1090"/>
        <v>1499.25</v>
      </c>
      <c r="DB228" s="190">
        <f t="shared" si="1090"/>
        <v>1417.5</v>
      </c>
      <c r="DC228" s="190">
        <f t="shared" si="1090"/>
        <v>1544.59</v>
      </c>
      <c r="DD228" s="190">
        <f t="shared" si="1090"/>
        <v>1308.1600000000001</v>
      </c>
      <c r="DE228" s="190">
        <f t="shared" si="1090"/>
        <v>-45.339999999999918</v>
      </c>
      <c r="DF228" s="190">
        <f t="shared" si="1090"/>
        <v>109.33999999999992</v>
      </c>
      <c r="DG228" s="190">
        <f t="shared" si="1090"/>
        <v>656.25</v>
      </c>
      <c r="DH228" s="190">
        <f t="shared" si="1090"/>
        <v>567.5</v>
      </c>
      <c r="DI228" s="190">
        <f t="shared" si="1090"/>
        <v>701.58999999999992</v>
      </c>
      <c r="DJ228" s="190">
        <f t="shared" si="1090"/>
        <v>458.16000000000008</v>
      </c>
      <c r="DK228" s="104">
        <f t="shared" si="839"/>
        <v>479.16000000000008</v>
      </c>
      <c r="DL228" s="104">
        <f t="shared" si="840"/>
        <v>494.33999999999992</v>
      </c>
      <c r="DM228" s="104">
        <f t="shared" si="949"/>
        <v>424.16000000000008</v>
      </c>
      <c r="DN228" s="104">
        <f t="shared" si="950"/>
        <v>394.33999999999992</v>
      </c>
      <c r="DO228" s="22">
        <f t="shared" si="1090"/>
        <v>2680</v>
      </c>
      <c r="DP228" s="22">
        <f t="shared" ref="DP228:DR228" si="1091">+DP226+DP227</f>
        <v>2370</v>
      </c>
      <c r="DQ228" s="22">
        <f t="shared" si="1091"/>
        <v>3070</v>
      </c>
      <c r="DR228" s="22">
        <f t="shared" si="1091"/>
        <v>2600</v>
      </c>
    </row>
    <row r="229" spans="1:125" ht="17.25" customHeight="1">
      <c r="A229" s="18">
        <v>3</v>
      </c>
      <c r="B229" s="18" t="s">
        <v>371</v>
      </c>
      <c r="C229" s="19" t="s">
        <v>18</v>
      </c>
      <c r="D229" s="181" t="s">
        <v>372</v>
      </c>
      <c r="E229" s="21" t="s">
        <v>373</v>
      </c>
      <c r="F229" s="81">
        <v>2809.96</v>
      </c>
      <c r="G229" s="81">
        <v>6650.1999999999989</v>
      </c>
      <c r="H229" s="81">
        <v>2809.96</v>
      </c>
      <c r="I229" s="22">
        <v>6680.1999999999989</v>
      </c>
      <c r="J229" s="88">
        <v>3551.58</v>
      </c>
      <c r="K229" s="88">
        <v>0</v>
      </c>
      <c r="L229" s="88">
        <v>0.2</v>
      </c>
      <c r="M229" s="88">
        <f t="shared" ref="M229:M232" si="1092">+L229+K229+J229</f>
        <v>3551.7799999999997</v>
      </c>
      <c r="N229" s="88">
        <v>0</v>
      </c>
      <c r="O229" s="88">
        <v>0</v>
      </c>
      <c r="P229" s="88">
        <v>0</v>
      </c>
      <c r="Q229" s="88">
        <f t="shared" ref="Q229:Q232" si="1093">+P229+O229+N229</f>
        <v>0</v>
      </c>
      <c r="R229" s="88">
        <f t="shared" ref="R229:R234" si="1094">+Q229+M229</f>
        <v>3551.7799999999997</v>
      </c>
      <c r="S229" s="88">
        <v>7200</v>
      </c>
      <c r="V229" s="22">
        <f t="shared" ref="V229:V234" si="1095">ROUND(H229*1.0583,2)</f>
        <v>2973.78</v>
      </c>
      <c r="W229" s="22">
        <f t="shared" ref="W229:W234" si="1096">ROUND(I229*1.0327,2)</f>
        <v>6898.64</v>
      </c>
      <c r="X229" s="22">
        <f t="shared" si="917"/>
        <v>577.99999999999955</v>
      </c>
      <c r="Y229" s="22">
        <f t="shared" si="918"/>
        <v>301.35999999999967</v>
      </c>
      <c r="Z229" s="22">
        <v>2973.78</v>
      </c>
      <c r="AA229" s="22"/>
      <c r="AB229" s="22">
        <f t="shared" si="919"/>
        <v>2973.78</v>
      </c>
      <c r="AC229" s="109">
        <f t="shared" si="920"/>
        <v>0</v>
      </c>
      <c r="AD229" s="22">
        <f t="shared" ref="AD229" si="1097">IF(X229&gt;0,V229,R229)</f>
        <v>2973.78</v>
      </c>
      <c r="AE229" s="22">
        <f t="shared" ref="AE229" si="1098">IF(Y229&gt;0,W229,S229)</f>
        <v>6898.64</v>
      </c>
      <c r="AF229" s="22">
        <f t="shared" si="921"/>
        <v>6495.84</v>
      </c>
      <c r="AG229" s="108">
        <f t="shared" si="922"/>
        <v>743</v>
      </c>
      <c r="AH229" s="108">
        <f t="shared" si="923"/>
        <v>1725</v>
      </c>
      <c r="AI229" s="127">
        <f t="shared" si="924"/>
        <v>248</v>
      </c>
      <c r="AJ229" s="108">
        <f t="shared" si="925"/>
        <v>575</v>
      </c>
      <c r="AM229" s="108">
        <f t="shared" si="926"/>
        <v>743.45</v>
      </c>
      <c r="AN229" s="108">
        <f t="shared" si="927"/>
        <v>1679.82</v>
      </c>
      <c r="AQ229" s="108">
        <f t="shared" si="928"/>
        <v>1486.45</v>
      </c>
      <c r="AR229" s="108">
        <f t="shared" si="929"/>
        <v>3404.8199999999997</v>
      </c>
      <c r="AT229" s="138"/>
      <c r="AU229" s="138">
        <f t="shared" si="1054"/>
        <v>743.45</v>
      </c>
      <c r="AV229" s="138">
        <f>ROUND(AE229*25%,2)</f>
        <v>1724.66</v>
      </c>
      <c r="AW229" s="138"/>
      <c r="AX229" s="142">
        <f>277.24+330</f>
        <v>607.24</v>
      </c>
      <c r="AY229" s="116">
        <f t="shared" si="903"/>
        <v>2477.9</v>
      </c>
      <c r="AZ229" s="108">
        <f t="shared" si="904"/>
        <v>6311.7199999999993</v>
      </c>
      <c r="BA229" s="108">
        <f t="shared" si="905"/>
        <v>8789.619999999999</v>
      </c>
      <c r="BB229" s="152">
        <v>2449.81</v>
      </c>
      <c r="BC229" s="139">
        <v>6167.91</v>
      </c>
      <c r="BD229" s="139">
        <f t="shared" si="906"/>
        <v>28.090000000000146</v>
      </c>
      <c r="BE229" s="139">
        <f t="shared" si="907"/>
        <v>143.80999999999949</v>
      </c>
      <c r="BF229" s="139">
        <f t="shared" si="908"/>
        <v>489.96</v>
      </c>
      <c r="BG229" s="139">
        <f t="shared" si="909"/>
        <v>1233.58</v>
      </c>
      <c r="BH229" s="108">
        <v>230.94</v>
      </c>
      <c r="BI229" s="108">
        <v>475</v>
      </c>
      <c r="BJ229" s="108">
        <v>16.18</v>
      </c>
      <c r="BK229" s="108">
        <v>100</v>
      </c>
      <c r="BL229" s="108">
        <f t="shared" si="948"/>
        <v>2725.02</v>
      </c>
      <c r="BM229" s="108">
        <f t="shared" si="951"/>
        <v>6886.7199999999993</v>
      </c>
      <c r="BN229" s="108">
        <f t="shared" si="952"/>
        <v>9611.74</v>
      </c>
      <c r="BO229" s="108">
        <v>2698.52</v>
      </c>
      <c r="BP229" s="127">
        <v>6896.34</v>
      </c>
      <c r="BQ229" s="108">
        <f t="shared" si="953"/>
        <v>26.5</v>
      </c>
      <c r="BR229" s="108">
        <f t="shared" si="954"/>
        <v>-9.6200000000008004</v>
      </c>
      <c r="BS229" s="108">
        <f t="shared" si="955"/>
        <v>245.32</v>
      </c>
      <c r="BT229" s="108">
        <f t="shared" si="956"/>
        <v>626.94000000000005</v>
      </c>
      <c r="BU229" s="143">
        <v>256</v>
      </c>
      <c r="BV229" s="109">
        <v>600</v>
      </c>
      <c r="BW229" s="109"/>
      <c r="BX229" s="109"/>
      <c r="BY229" s="109"/>
      <c r="BZ229" s="109"/>
      <c r="CA229" s="108">
        <v>2981.02</v>
      </c>
      <c r="CB229" s="108">
        <v>7486.7199999999993</v>
      </c>
      <c r="CC229">
        <v>3279.12</v>
      </c>
      <c r="CD229">
        <v>8609.73</v>
      </c>
      <c r="CE229" s="189">
        <v>273</v>
      </c>
      <c r="CF229" s="189">
        <v>717</v>
      </c>
      <c r="CG229" s="189">
        <f t="shared" si="957"/>
        <v>745.26</v>
      </c>
      <c r="CH229" s="189">
        <f t="shared" si="958"/>
        <v>1871.68</v>
      </c>
      <c r="CI229" s="150"/>
      <c r="CJ229" s="150"/>
      <c r="CK229" s="150">
        <v>807</v>
      </c>
      <c r="CL229" s="150">
        <f>2464-200-64-20</f>
        <v>2180</v>
      </c>
      <c r="CM229" s="150"/>
      <c r="CN229" s="150"/>
      <c r="CO229" s="150">
        <v>3020</v>
      </c>
      <c r="CP229" s="150">
        <v>7500</v>
      </c>
      <c r="CQ229" s="150">
        <f t="shared" si="959"/>
        <v>3228</v>
      </c>
      <c r="CR229" s="150">
        <f t="shared" si="960"/>
        <v>8720</v>
      </c>
      <c r="CS229" s="150">
        <f t="shared" si="961"/>
        <v>3020</v>
      </c>
      <c r="CT229" s="150">
        <f t="shared" si="962"/>
        <v>7500</v>
      </c>
      <c r="CU229" s="150">
        <v>3260</v>
      </c>
      <c r="CV229" s="150">
        <v>8850</v>
      </c>
      <c r="CW229" s="150">
        <f t="shared" si="963"/>
        <v>815</v>
      </c>
      <c r="CX229" s="150">
        <f t="shared" si="963"/>
        <v>2212.5</v>
      </c>
      <c r="CY229" s="150"/>
      <c r="CZ229" s="150"/>
      <c r="DA229" s="150">
        <f t="shared" si="964"/>
        <v>1895</v>
      </c>
      <c r="DB229" s="150">
        <f t="shared" si="965"/>
        <v>5109.5</v>
      </c>
      <c r="DC229" s="150">
        <v>1783.72</v>
      </c>
      <c r="DD229" s="150">
        <v>5039.8900000000003</v>
      </c>
      <c r="DE229" s="150">
        <f t="shared" si="966"/>
        <v>111.27999999999997</v>
      </c>
      <c r="DF229" s="150">
        <f t="shared" si="967"/>
        <v>69.609999999999673</v>
      </c>
      <c r="DG229" s="150">
        <f t="shared" ref="DG229:DH234" si="1099">ROUND(0.25*(MIN(CU229,DO229)),2)</f>
        <v>815</v>
      </c>
      <c r="DH229" s="150">
        <f t="shared" si="1099"/>
        <v>2212.5</v>
      </c>
      <c r="DI229" s="150">
        <f t="shared" ref="DI229:DJ234" si="1100">+DG229-DE229</f>
        <v>703.72</v>
      </c>
      <c r="DJ229" s="150">
        <f t="shared" si="1100"/>
        <v>2142.8900000000003</v>
      </c>
      <c r="DK229" s="104">
        <f t="shared" si="839"/>
        <v>661.28</v>
      </c>
      <c r="DL229" s="104">
        <f t="shared" si="840"/>
        <v>1597.6099999999997</v>
      </c>
      <c r="DM229" s="104">
        <f t="shared" si="949"/>
        <v>661.28</v>
      </c>
      <c r="DN229" s="104">
        <f t="shared" si="950"/>
        <v>1597.6099999999997</v>
      </c>
      <c r="DO229" s="104">
        <v>3260</v>
      </c>
      <c r="DP229" s="104">
        <v>8850</v>
      </c>
      <c r="DQ229" s="104">
        <v>3350</v>
      </c>
      <c r="DR229" s="104">
        <v>10600</v>
      </c>
    </row>
    <row r="230" spans="1:125" ht="18.75">
      <c r="A230" s="18">
        <v>4</v>
      </c>
      <c r="B230" s="18" t="s">
        <v>374</v>
      </c>
      <c r="C230" s="19" t="s">
        <v>23</v>
      </c>
      <c r="D230" s="20" t="s">
        <v>375</v>
      </c>
      <c r="E230" s="21" t="s">
        <v>376</v>
      </c>
      <c r="F230" s="81">
        <v>2675.9799999999996</v>
      </c>
      <c r="G230" s="81">
        <v>312.67999999999995</v>
      </c>
      <c r="H230" s="81">
        <v>2675.9799999999996</v>
      </c>
      <c r="I230" s="22">
        <v>312.67999999999995</v>
      </c>
      <c r="J230" s="88">
        <v>2990.7</v>
      </c>
      <c r="K230" s="88">
        <v>0</v>
      </c>
      <c r="L230" s="88">
        <v>0.3</v>
      </c>
      <c r="M230" s="88">
        <f t="shared" si="1092"/>
        <v>2991</v>
      </c>
      <c r="N230" s="88">
        <v>0</v>
      </c>
      <c r="O230" s="88">
        <v>0</v>
      </c>
      <c r="P230" s="88">
        <v>0</v>
      </c>
      <c r="Q230" s="88">
        <f t="shared" si="1093"/>
        <v>0</v>
      </c>
      <c r="R230" s="88">
        <f t="shared" si="1094"/>
        <v>2991</v>
      </c>
      <c r="S230" s="88">
        <v>220</v>
      </c>
      <c r="V230" s="22">
        <f t="shared" si="1095"/>
        <v>2831.99</v>
      </c>
      <c r="W230" s="22">
        <f t="shared" si="1096"/>
        <v>322.89999999999998</v>
      </c>
      <c r="X230" s="22">
        <f t="shared" si="917"/>
        <v>159.01000000000022</v>
      </c>
      <c r="Y230" s="22">
        <f t="shared" si="918"/>
        <v>-102.89999999999998</v>
      </c>
      <c r="Z230" s="22">
        <v>2831.99</v>
      </c>
      <c r="AA230" s="22"/>
      <c r="AB230" s="22">
        <f t="shared" si="919"/>
        <v>2831.99</v>
      </c>
      <c r="AC230" s="109">
        <f t="shared" si="920"/>
        <v>0</v>
      </c>
      <c r="AD230" s="22">
        <f t="shared" ref="AD230:AD233" si="1101">IF(X230&gt;0,V230,R230)</f>
        <v>2831.99</v>
      </c>
      <c r="AE230" s="22">
        <f t="shared" ref="AE230:AE233" si="1102">IF(Y230&gt;0,W230,S230)</f>
        <v>220</v>
      </c>
      <c r="AF230" s="22">
        <f t="shared" si="921"/>
        <v>198.48</v>
      </c>
      <c r="AG230" s="108">
        <f t="shared" si="922"/>
        <v>708</v>
      </c>
      <c r="AH230" s="108">
        <f t="shared" si="923"/>
        <v>55</v>
      </c>
      <c r="AI230" s="127">
        <f t="shared" si="924"/>
        <v>236</v>
      </c>
      <c r="AJ230" s="108">
        <f t="shared" si="925"/>
        <v>18</v>
      </c>
      <c r="AM230" s="108">
        <f t="shared" si="926"/>
        <v>708</v>
      </c>
      <c r="AN230" s="108">
        <f t="shared" si="927"/>
        <v>53.57</v>
      </c>
      <c r="AQ230" s="108">
        <f t="shared" si="928"/>
        <v>1416</v>
      </c>
      <c r="AR230" s="108">
        <f t="shared" si="929"/>
        <v>108.57</v>
      </c>
      <c r="AT230" s="138"/>
      <c r="AU230" s="138">
        <f t="shared" si="1054"/>
        <v>708</v>
      </c>
      <c r="AV230" s="138">
        <f t="shared" si="995"/>
        <v>55</v>
      </c>
      <c r="AW230" s="142">
        <v>90</v>
      </c>
      <c r="AX230" s="138"/>
      <c r="AY230" s="116">
        <f t="shared" si="903"/>
        <v>2450</v>
      </c>
      <c r="AZ230" s="108">
        <f t="shared" si="904"/>
        <v>181.57</v>
      </c>
      <c r="BA230" s="108">
        <f t="shared" si="905"/>
        <v>2631.57</v>
      </c>
      <c r="BB230" s="152">
        <v>2402.94</v>
      </c>
      <c r="BC230" s="139">
        <v>69.319999999999993</v>
      </c>
      <c r="BD230" s="139">
        <f t="shared" si="906"/>
        <v>47.059999999999945</v>
      </c>
      <c r="BE230" s="139">
        <f t="shared" si="907"/>
        <v>112.25</v>
      </c>
      <c r="BF230" s="139">
        <f t="shared" si="908"/>
        <v>480.59</v>
      </c>
      <c r="BG230" s="139">
        <f t="shared" si="909"/>
        <v>13.86</v>
      </c>
      <c r="BH230" s="143">
        <v>247.5</v>
      </c>
      <c r="BI230" s="108">
        <v>0</v>
      </c>
      <c r="BL230" s="108">
        <f t="shared" si="948"/>
        <v>2697.5</v>
      </c>
      <c r="BM230" s="108">
        <f t="shared" si="951"/>
        <v>181.57</v>
      </c>
      <c r="BN230" s="108">
        <f t="shared" si="952"/>
        <v>2879.07</v>
      </c>
      <c r="BO230" s="108">
        <v>2690.44</v>
      </c>
      <c r="BP230" s="127">
        <v>75.45</v>
      </c>
      <c r="BQ230" s="108">
        <f t="shared" si="953"/>
        <v>7.0599999999999454</v>
      </c>
      <c r="BR230" s="108">
        <f t="shared" si="954"/>
        <v>106.11999999999999</v>
      </c>
      <c r="BS230" s="108">
        <f t="shared" si="955"/>
        <v>244.59</v>
      </c>
      <c r="BT230" s="108">
        <f t="shared" si="956"/>
        <v>6.86</v>
      </c>
      <c r="BU230" s="143">
        <v>257</v>
      </c>
      <c r="BV230" s="143">
        <v>0</v>
      </c>
      <c r="BW230" s="143"/>
      <c r="BX230" s="143"/>
      <c r="BY230" s="143"/>
      <c r="BZ230" s="143"/>
      <c r="CA230" s="108">
        <v>2954.5</v>
      </c>
      <c r="CB230" s="108">
        <v>181.57</v>
      </c>
      <c r="CC230">
        <v>3249.95</v>
      </c>
      <c r="CD230">
        <v>208.81</v>
      </c>
      <c r="CE230" s="189">
        <v>271</v>
      </c>
      <c r="CF230" s="189">
        <v>17</v>
      </c>
      <c r="CG230" s="189">
        <f t="shared" si="957"/>
        <v>738.63</v>
      </c>
      <c r="CH230" s="189">
        <f t="shared" si="958"/>
        <v>45.39</v>
      </c>
      <c r="CI230" s="150"/>
      <c r="CJ230" s="150"/>
      <c r="CK230" s="150">
        <v>850</v>
      </c>
      <c r="CL230" s="150">
        <f>158-58</f>
        <v>100</v>
      </c>
      <c r="CM230" s="150"/>
      <c r="CN230" s="150">
        <v>120</v>
      </c>
      <c r="CO230" s="150">
        <v>3250</v>
      </c>
      <c r="CP230" s="150">
        <v>340</v>
      </c>
      <c r="CQ230" s="150">
        <f t="shared" si="959"/>
        <v>3400</v>
      </c>
      <c r="CR230" s="150">
        <f t="shared" si="960"/>
        <v>400</v>
      </c>
      <c r="CS230" s="150">
        <f t="shared" si="961"/>
        <v>3250</v>
      </c>
      <c r="CT230" s="150">
        <f t="shared" si="962"/>
        <v>340</v>
      </c>
      <c r="CU230" s="150">
        <v>3390</v>
      </c>
      <c r="CV230" s="150">
        <v>575</v>
      </c>
      <c r="CW230" s="150">
        <f t="shared" si="963"/>
        <v>847.5</v>
      </c>
      <c r="CX230" s="150">
        <f>ROUND(CV230*25%,2)-10</f>
        <v>133.75</v>
      </c>
      <c r="CY230" s="150"/>
      <c r="CZ230" s="150"/>
      <c r="DA230" s="150">
        <f t="shared" si="964"/>
        <v>1968.5</v>
      </c>
      <c r="DB230" s="150">
        <f t="shared" si="965"/>
        <v>370.75</v>
      </c>
      <c r="DC230" s="150">
        <v>1820.65</v>
      </c>
      <c r="DD230" s="150">
        <v>252.43</v>
      </c>
      <c r="DE230" s="150">
        <f t="shared" si="966"/>
        <v>147.84999999999991</v>
      </c>
      <c r="DF230" s="150">
        <f t="shared" si="967"/>
        <v>118.32</v>
      </c>
      <c r="DG230" s="150">
        <f t="shared" si="1099"/>
        <v>795</v>
      </c>
      <c r="DH230" s="150">
        <f t="shared" si="1099"/>
        <v>135</v>
      </c>
      <c r="DI230" s="150">
        <f t="shared" si="1100"/>
        <v>647.15000000000009</v>
      </c>
      <c r="DJ230" s="150">
        <f t="shared" si="1100"/>
        <v>16.680000000000007</v>
      </c>
      <c r="DK230" s="104">
        <f t="shared" si="839"/>
        <v>564.34999999999991</v>
      </c>
      <c r="DL230" s="104">
        <f t="shared" si="840"/>
        <v>152.57</v>
      </c>
      <c r="DM230" s="104">
        <f t="shared" si="949"/>
        <v>774.34999999999991</v>
      </c>
      <c r="DN230" s="104">
        <f t="shared" si="950"/>
        <v>187.57</v>
      </c>
      <c r="DO230" s="104">
        <v>3180</v>
      </c>
      <c r="DP230" s="104">
        <v>540</v>
      </c>
      <c r="DQ230" s="104">
        <v>3450</v>
      </c>
      <c r="DR230" s="104">
        <v>525</v>
      </c>
    </row>
    <row r="231" spans="1:125" ht="18.75">
      <c r="A231" s="18">
        <v>5</v>
      </c>
      <c r="B231" s="18" t="s">
        <v>377</v>
      </c>
      <c r="C231" s="19" t="s">
        <v>13</v>
      </c>
      <c r="D231" s="20" t="s">
        <v>378</v>
      </c>
      <c r="E231" s="21" t="s">
        <v>379</v>
      </c>
      <c r="F231" s="81">
        <v>3249.6799999999994</v>
      </c>
      <c r="G231" s="81">
        <v>2530.94</v>
      </c>
      <c r="H231" s="81">
        <v>3249.6799999999994</v>
      </c>
      <c r="I231" s="22">
        <v>2530.94</v>
      </c>
      <c r="J231" s="88">
        <v>4021.31</v>
      </c>
      <c r="K231" s="88">
        <v>0</v>
      </c>
      <c r="L231" s="88">
        <v>0.69</v>
      </c>
      <c r="M231" s="88">
        <f t="shared" si="1092"/>
        <v>4022</v>
      </c>
      <c r="N231" s="88">
        <v>0</v>
      </c>
      <c r="O231" s="88">
        <v>0</v>
      </c>
      <c r="P231" s="88">
        <v>0</v>
      </c>
      <c r="Q231" s="88">
        <f t="shared" si="1093"/>
        <v>0</v>
      </c>
      <c r="R231" s="88">
        <f t="shared" si="1094"/>
        <v>4022</v>
      </c>
      <c r="S231" s="88">
        <v>3335</v>
      </c>
      <c r="V231" s="22">
        <f t="shared" si="1095"/>
        <v>3439.14</v>
      </c>
      <c r="W231" s="22">
        <f t="shared" si="1096"/>
        <v>2613.6999999999998</v>
      </c>
      <c r="X231" s="22">
        <f t="shared" si="917"/>
        <v>582.86000000000013</v>
      </c>
      <c r="Y231" s="22">
        <f t="shared" si="918"/>
        <v>721.30000000000018</v>
      </c>
      <c r="Z231" s="22">
        <v>3439.14</v>
      </c>
      <c r="AA231" s="22"/>
      <c r="AB231" s="22">
        <f t="shared" si="919"/>
        <v>3439.14</v>
      </c>
      <c r="AC231" s="109">
        <f t="shared" si="920"/>
        <v>0</v>
      </c>
      <c r="AD231" s="22">
        <f t="shared" si="1101"/>
        <v>3439.14</v>
      </c>
      <c r="AE231" s="22">
        <f t="shared" si="1102"/>
        <v>2613.6999999999998</v>
      </c>
      <c r="AF231" s="22">
        <f t="shared" si="921"/>
        <v>3008.84</v>
      </c>
      <c r="AG231" s="108">
        <f t="shared" si="922"/>
        <v>860</v>
      </c>
      <c r="AH231" s="108">
        <f t="shared" si="923"/>
        <v>653</v>
      </c>
      <c r="AI231" s="127">
        <f t="shared" si="924"/>
        <v>287</v>
      </c>
      <c r="AJ231" s="108">
        <f t="shared" si="925"/>
        <v>218</v>
      </c>
      <c r="AL231" s="143">
        <v>175</v>
      </c>
      <c r="AM231" s="108">
        <f t="shared" si="926"/>
        <v>859.79</v>
      </c>
      <c r="AN231" s="108">
        <f t="shared" si="927"/>
        <v>636.44000000000005</v>
      </c>
      <c r="AQ231" s="108">
        <f t="shared" si="928"/>
        <v>1719.79</v>
      </c>
      <c r="AR231" s="108">
        <f t="shared" si="929"/>
        <v>1464.44</v>
      </c>
      <c r="AT231" s="138"/>
      <c r="AU231" s="138">
        <f t="shared" si="1054"/>
        <v>859.79</v>
      </c>
      <c r="AV231" s="138">
        <f>ROUND(AE231*25%,2)+396.57</f>
        <v>1050</v>
      </c>
      <c r="AW231" s="138"/>
      <c r="AX231" s="138"/>
      <c r="AY231" s="116">
        <f t="shared" si="903"/>
        <v>2866.58</v>
      </c>
      <c r="AZ231" s="108">
        <f t="shared" si="904"/>
        <v>2732.44</v>
      </c>
      <c r="BA231" s="108">
        <f t="shared" si="905"/>
        <v>5599.02</v>
      </c>
      <c r="BB231" s="152">
        <v>2774.17</v>
      </c>
      <c r="BC231" s="139">
        <v>2672.26</v>
      </c>
      <c r="BD231" s="139">
        <f t="shared" si="906"/>
        <v>92.409999999999854</v>
      </c>
      <c r="BE231" s="139">
        <f t="shared" si="907"/>
        <v>60.179999999999836</v>
      </c>
      <c r="BF231" s="139">
        <f t="shared" si="908"/>
        <v>554.83000000000004</v>
      </c>
      <c r="BG231" s="139">
        <f t="shared" si="909"/>
        <v>534.45000000000005</v>
      </c>
      <c r="BH231" s="108">
        <v>231.21</v>
      </c>
      <c r="BI231" s="108">
        <v>232.14</v>
      </c>
      <c r="BK231" s="108">
        <v>100</v>
      </c>
      <c r="BL231" s="108">
        <f t="shared" si="948"/>
        <v>3097.79</v>
      </c>
      <c r="BM231" s="108">
        <f t="shared" si="951"/>
        <v>3064.58</v>
      </c>
      <c r="BN231" s="108">
        <f t="shared" si="952"/>
        <v>6162.37</v>
      </c>
      <c r="BO231" s="108">
        <v>3065.97</v>
      </c>
      <c r="BP231" s="127">
        <v>2960.83</v>
      </c>
      <c r="BQ231" s="108">
        <f t="shared" si="953"/>
        <v>31.820000000000164</v>
      </c>
      <c r="BR231" s="108">
        <f t="shared" si="954"/>
        <v>103.75</v>
      </c>
      <c r="BS231" s="108">
        <f t="shared" si="955"/>
        <v>278.72000000000003</v>
      </c>
      <c r="BT231" s="108">
        <f t="shared" si="956"/>
        <v>269.17</v>
      </c>
      <c r="BU231" s="143">
        <v>275.20999999999998</v>
      </c>
      <c r="BV231" s="109">
        <v>250</v>
      </c>
      <c r="BW231" s="109"/>
      <c r="BX231" s="109">
        <v>35.42</v>
      </c>
      <c r="BY231" s="109"/>
      <c r="BZ231" s="109"/>
      <c r="CA231" s="108">
        <v>3373</v>
      </c>
      <c r="CB231" s="108">
        <v>3350</v>
      </c>
      <c r="CC231">
        <v>3710.3</v>
      </c>
      <c r="CD231">
        <v>3852.5</v>
      </c>
      <c r="CE231" s="189">
        <v>309</v>
      </c>
      <c r="CF231" s="189">
        <v>321</v>
      </c>
      <c r="CG231" s="189">
        <f t="shared" si="957"/>
        <v>843.25</v>
      </c>
      <c r="CH231" s="189">
        <f t="shared" si="958"/>
        <v>837.5</v>
      </c>
      <c r="CI231" s="150"/>
      <c r="CJ231" s="150"/>
      <c r="CK231" s="150">
        <f>950</f>
        <v>950</v>
      </c>
      <c r="CL231" s="150">
        <f>1050-200</f>
        <v>850</v>
      </c>
      <c r="CM231" s="150"/>
      <c r="CN231" s="150">
        <f>21.55+193.45</f>
        <v>215</v>
      </c>
      <c r="CO231" s="150">
        <v>3954.92</v>
      </c>
      <c r="CP231" s="150">
        <v>3695</v>
      </c>
      <c r="CQ231" s="150">
        <f t="shared" si="959"/>
        <v>3800</v>
      </c>
      <c r="CR231" s="150">
        <f t="shared" si="960"/>
        <v>3400</v>
      </c>
      <c r="CS231" s="150">
        <f t="shared" si="961"/>
        <v>3800</v>
      </c>
      <c r="CT231" s="150">
        <f t="shared" si="962"/>
        <v>3400</v>
      </c>
      <c r="CU231" s="150">
        <f t="shared" ref="CU231" si="1103">IF(CQ231&lt;CS231,CQ231,CS231)</f>
        <v>3800</v>
      </c>
      <c r="CV231" s="150">
        <f t="shared" ref="CV231" si="1104">IF(CR231&lt;CT231,CR231,CT231)</f>
        <v>3400</v>
      </c>
      <c r="CW231" s="150">
        <f t="shared" si="963"/>
        <v>950</v>
      </c>
      <c r="CX231" s="150">
        <f t="shared" si="963"/>
        <v>850</v>
      </c>
      <c r="CY231" s="150"/>
      <c r="CZ231" s="150"/>
      <c r="DA231" s="150">
        <f t="shared" si="964"/>
        <v>2209</v>
      </c>
      <c r="DB231" s="150">
        <f t="shared" si="965"/>
        <v>2236</v>
      </c>
      <c r="DC231" s="150">
        <v>2046.54</v>
      </c>
      <c r="DD231" s="150">
        <v>2139.15</v>
      </c>
      <c r="DE231" s="150">
        <f t="shared" si="966"/>
        <v>162.46000000000004</v>
      </c>
      <c r="DF231" s="150">
        <f t="shared" si="967"/>
        <v>96.849999999999909</v>
      </c>
      <c r="DG231" s="150">
        <f t="shared" si="1099"/>
        <v>875</v>
      </c>
      <c r="DH231" s="150">
        <f t="shared" si="1099"/>
        <v>850</v>
      </c>
      <c r="DI231" s="150">
        <f t="shared" si="1100"/>
        <v>712.54</v>
      </c>
      <c r="DJ231" s="150">
        <f t="shared" si="1100"/>
        <v>753.15000000000009</v>
      </c>
      <c r="DK231" s="104">
        <f t="shared" si="839"/>
        <v>578.46</v>
      </c>
      <c r="DL231" s="104">
        <f t="shared" si="840"/>
        <v>810.84999999999991</v>
      </c>
      <c r="DM231" s="104">
        <f t="shared" si="949"/>
        <v>878.46</v>
      </c>
      <c r="DN231" s="104">
        <f t="shared" si="950"/>
        <v>410.84999999999991</v>
      </c>
      <c r="DO231" s="104">
        <v>3500</v>
      </c>
      <c r="DP231" s="104">
        <v>3800</v>
      </c>
      <c r="DQ231" s="104">
        <v>3800</v>
      </c>
      <c r="DR231" s="104">
        <v>3800</v>
      </c>
    </row>
    <row r="232" spans="1:125" ht="18.75">
      <c r="A232" s="18">
        <v>6</v>
      </c>
      <c r="B232" s="18" t="s">
        <v>380</v>
      </c>
      <c r="C232" s="19" t="s">
        <v>153</v>
      </c>
      <c r="D232" s="20" t="s">
        <v>381</v>
      </c>
      <c r="E232" s="21" t="s">
        <v>382</v>
      </c>
      <c r="F232" s="81">
        <v>3079.9</v>
      </c>
      <c r="G232" s="81">
        <v>256.89999999999998</v>
      </c>
      <c r="H232" s="81">
        <v>3079.9</v>
      </c>
      <c r="I232" s="22">
        <v>256.89999999999998</v>
      </c>
      <c r="J232" s="88">
        <v>3500</v>
      </c>
      <c r="K232" s="88">
        <v>0</v>
      </c>
      <c r="L232" s="88">
        <v>0</v>
      </c>
      <c r="M232" s="88">
        <f t="shared" si="1092"/>
        <v>3500</v>
      </c>
      <c r="N232" s="88">
        <v>0</v>
      </c>
      <c r="O232" s="88">
        <v>0</v>
      </c>
      <c r="P232" s="88">
        <v>0</v>
      </c>
      <c r="Q232" s="88">
        <f t="shared" si="1093"/>
        <v>0</v>
      </c>
      <c r="R232" s="88">
        <f t="shared" si="1094"/>
        <v>3500</v>
      </c>
      <c r="S232" s="88">
        <v>460</v>
      </c>
      <c r="V232" s="22">
        <f t="shared" si="1095"/>
        <v>3259.46</v>
      </c>
      <c r="W232" s="22">
        <f t="shared" si="1096"/>
        <v>265.3</v>
      </c>
      <c r="X232" s="22">
        <f t="shared" si="917"/>
        <v>240.53999999999996</v>
      </c>
      <c r="Y232" s="22">
        <f t="shared" si="918"/>
        <v>194.7</v>
      </c>
      <c r="Z232" s="22">
        <v>3259.46</v>
      </c>
      <c r="AA232" s="22"/>
      <c r="AB232" s="22">
        <f t="shared" si="919"/>
        <v>3259.46</v>
      </c>
      <c r="AC232" s="109">
        <f t="shared" si="920"/>
        <v>0</v>
      </c>
      <c r="AD232" s="22">
        <f t="shared" si="1101"/>
        <v>3259.46</v>
      </c>
      <c r="AE232" s="22">
        <f t="shared" si="1102"/>
        <v>265.3</v>
      </c>
      <c r="AF232" s="22">
        <f t="shared" si="921"/>
        <v>415.01</v>
      </c>
      <c r="AG232" s="108">
        <f t="shared" si="922"/>
        <v>815</v>
      </c>
      <c r="AH232" s="108">
        <f t="shared" si="923"/>
        <v>66</v>
      </c>
      <c r="AI232" s="127">
        <f t="shared" si="924"/>
        <v>272</v>
      </c>
      <c r="AJ232" s="108">
        <f t="shared" si="925"/>
        <v>22</v>
      </c>
      <c r="AM232" s="108">
        <f t="shared" si="926"/>
        <v>814.87</v>
      </c>
      <c r="AN232" s="108">
        <f t="shared" si="927"/>
        <v>64.599999999999994</v>
      </c>
      <c r="AQ232" s="108">
        <f t="shared" si="928"/>
        <v>1629.87</v>
      </c>
      <c r="AR232" s="108">
        <f t="shared" si="929"/>
        <v>130.6</v>
      </c>
      <c r="AT232" s="138"/>
      <c r="AU232" s="138">
        <f t="shared" si="1054"/>
        <v>814.87</v>
      </c>
      <c r="AV232" s="138">
        <f>ROUND(AE232*25%,2)+20</f>
        <v>86.33</v>
      </c>
      <c r="AW232" s="138"/>
      <c r="AX232" s="138"/>
      <c r="AY232" s="116">
        <f t="shared" si="903"/>
        <v>2716.74</v>
      </c>
      <c r="AZ232" s="108">
        <f t="shared" si="904"/>
        <v>238.93</v>
      </c>
      <c r="BA232" s="108">
        <f t="shared" si="905"/>
        <v>2955.6699999999996</v>
      </c>
      <c r="BB232" s="152">
        <v>2769.48</v>
      </c>
      <c r="BC232" s="139">
        <v>220.24</v>
      </c>
      <c r="BD232" s="139">
        <f t="shared" si="906"/>
        <v>-52.740000000000236</v>
      </c>
      <c r="BE232" s="139">
        <f t="shared" si="907"/>
        <v>18.689999999999998</v>
      </c>
      <c r="BF232" s="139">
        <f t="shared" si="908"/>
        <v>553.9</v>
      </c>
      <c r="BG232" s="139">
        <f t="shared" si="909"/>
        <v>44.05</v>
      </c>
      <c r="BH232" s="108">
        <v>303.32</v>
      </c>
      <c r="BI232" s="108">
        <v>12.68</v>
      </c>
      <c r="BL232" s="108">
        <f t="shared" si="948"/>
        <v>3020.06</v>
      </c>
      <c r="BM232" s="108">
        <f t="shared" si="951"/>
        <v>251.61</v>
      </c>
      <c r="BN232" s="108">
        <f t="shared" si="952"/>
        <v>3271.67</v>
      </c>
      <c r="BO232" s="108">
        <v>3037.49</v>
      </c>
      <c r="BP232" s="127">
        <v>224.14</v>
      </c>
      <c r="BQ232" s="108">
        <f t="shared" si="953"/>
        <v>-17.429999999999836</v>
      </c>
      <c r="BR232" s="108">
        <f t="shared" si="954"/>
        <v>27.470000000000027</v>
      </c>
      <c r="BS232" s="108">
        <f t="shared" si="955"/>
        <v>276.14</v>
      </c>
      <c r="BT232" s="108">
        <f t="shared" si="956"/>
        <v>20.38</v>
      </c>
      <c r="BU232" s="108">
        <f t="shared" si="987"/>
        <v>293.56999999999982</v>
      </c>
      <c r="BV232" s="108">
        <v>0</v>
      </c>
      <c r="BW232" s="109">
        <v>36.369999999999997</v>
      </c>
      <c r="BX232" s="108">
        <f>100+38.39</f>
        <v>138.38999999999999</v>
      </c>
      <c r="CA232" s="108">
        <v>3349.9999999999995</v>
      </c>
      <c r="CB232" s="108">
        <v>390</v>
      </c>
      <c r="CC232">
        <v>3685</v>
      </c>
      <c r="CD232">
        <v>448.5</v>
      </c>
      <c r="CE232" s="189">
        <v>307</v>
      </c>
      <c r="CF232" s="189">
        <v>37</v>
      </c>
      <c r="CG232" s="189">
        <f t="shared" si="957"/>
        <v>837.5</v>
      </c>
      <c r="CH232" s="189">
        <f t="shared" si="958"/>
        <v>97.5</v>
      </c>
      <c r="CI232" s="150"/>
      <c r="CJ232" s="150"/>
      <c r="CK232" s="150">
        <v>825</v>
      </c>
      <c r="CL232" s="150">
        <f>175-75</f>
        <v>100</v>
      </c>
      <c r="CM232" s="150"/>
      <c r="CN232" s="150"/>
      <c r="CO232" s="150">
        <v>3850</v>
      </c>
      <c r="CP232" s="150">
        <v>410</v>
      </c>
      <c r="CQ232" s="150">
        <f t="shared" si="959"/>
        <v>3300</v>
      </c>
      <c r="CR232" s="150">
        <f t="shared" si="960"/>
        <v>400</v>
      </c>
      <c r="CS232" s="150">
        <f t="shared" si="961"/>
        <v>3300</v>
      </c>
      <c r="CT232" s="150">
        <f t="shared" si="962"/>
        <v>400</v>
      </c>
      <c r="CU232" s="150">
        <v>3850</v>
      </c>
      <c r="CV232" s="150">
        <v>400</v>
      </c>
      <c r="CW232" s="150">
        <f t="shared" si="963"/>
        <v>962.5</v>
      </c>
      <c r="CX232" s="150">
        <f t="shared" si="963"/>
        <v>100</v>
      </c>
      <c r="CY232" s="150"/>
      <c r="CZ232" s="150"/>
      <c r="DA232" s="150">
        <f t="shared" si="964"/>
        <v>2094.5</v>
      </c>
      <c r="DB232" s="150">
        <f t="shared" si="965"/>
        <v>237</v>
      </c>
      <c r="DC232" s="150">
        <v>2035.69</v>
      </c>
      <c r="DD232" s="150">
        <v>152.22999999999999</v>
      </c>
      <c r="DE232" s="150">
        <f t="shared" si="966"/>
        <v>58.809999999999945</v>
      </c>
      <c r="DF232" s="150">
        <f t="shared" si="967"/>
        <v>84.77000000000001</v>
      </c>
      <c r="DG232" s="150">
        <f t="shared" si="1099"/>
        <v>925</v>
      </c>
      <c r="DH232" s="150">
        <f t="shared" si="1099"/>
        <v>100</v>
      </c>
      <c r="DI232" s="150">
        <f t="shared" si="1100"/>
        <v>866.19</v>
      </c>
      <c r="DJ232" s="150">
        <f t="shared" si="1100"/>
        <v>15.22999999999999</v>
      </c>
      <c r="DK232" s="104">
        <f t="shared" si="839"/>
        <v>739.31</v>
      </c>
      <c r="DL232" s="104">
        <f t="shared" si="840"/>
        <v>157.77000000000001</v>
      </c>
      <c r="DM232" s="104">
        <f t="shared" si="949"/>
        <v>889.31</v>
      </c>
      <c r="DN232" s="104">
        <f t="shared" si="950"/>
        <v>147.77000000000001</v>
      </c>
      <c r="DO232" s="104">
        <v>3700</v>
      </c>
      <c r="DP232" s="104">
        <v>410</v>
      </c>
      <c r="DQ232" s="104">
        <v>4240</v>
      </c>
      <c r="DR232" s="104">
        <v>300</v>
      </c>
    </row>
    <row r="233" spans="1:125" ht="18.75">
      <c r="A233" s="13">
        <v>7</v>
      </c>
      <c r="B233" s="13"/>
      <c r="C233" s="14"/>
      <c r="D233" s="15" t="s">
        <v>383</v>
      </c>
      <c r="E233" s="16"/>
      <c r="F233" s="81">
        <v>6349.9999999999991</v>
      </c>
      <c r="G233" s="81">
        <v>7302.23</v>
      </c>
      <c r="H233" s="81">
        <v>6349.9999999999991</v>
      </c>
      <c r="I233" s="17">
        <v>7450</v>
      </c>
      <c r="J233" s="86">
        <v>8000</v>
      </c>
      <c r="K233" s="87">
        <v>0</v>
      </c>
      <c r="L233" s="87">
        <v>0</v>
      </c>
      <c r="M233" s="87">
        <f t="shared" ref="M233:M234" si="1105">J233+K233+L233</f>
        <v>8000</v>
      </c>
      <c r="N233" s="87">
        <v>0</v>
      </c>
      <c r="O233" s="87">
        <v>0</v>
      </c>
      <c r="P233" s="87">
        <v>0</v>
      </c>
      <c r="Q233" s="87">
        <f t="shared" ref="Q233:Q234" si="1106">N233+O233+P233</f>
        <v>0</v>
      </c>
      <c r="R233" s="87">
        <f t="shared" si="1094"/>
        <v>8000</v>
      </c>
      <c r="S233" s="87">
        <v>8990</v>
      </c>
      <c r="V233" s="17">
        <f t="shared" si="1095"/>
        <v>6720.21</v>
      </c>
      <c r="W233" s="17">
        <f t="shared" si="1096"/>
        <v>7693.62</v>
      </c>
      <c r="X233" s="108">
        <f t="shared" si="917"/>
        <v>1279.79</v>
      </c>
      <c r="Y233" s="108">
        <f t="shared" si="918"/>
        <v>1296.3800000000001</v>
      </c>
      <c r="Z233" s="108">
        <v>6720.21</v>
      </c>
      <c r="AA233" s="108"/>
      <c r="AB233" s="108">
        <f t="shared" si="919"/>
        <v>6720.21</v>
      </c>
      <c r="AC233" s="109">
        <f t="shared" si="920"/>
        <v>0</v>
      </c>
      <c r="AD233" s="108">
        <f t="shared" si="1101"/>
        <v>6720.21</v>
      </c>
      <c r="AE233" s="108">
        <f t="shared" si="1102"/>
        <v>7693.62</v>
      </c>
      <c r="AF233" s="108">
        <f t="shared" si="921"/>
        <v>8110.78</v>
      </c>
      <c r="AG233" s="108">
        <f t="shared" si="922"/>
        <v>1680</v>
      </c>
      <c r="AH233" s="108">
        <f t="shared" si="923"/>
        <v>1923</v>
      </c>
      <c r="AI233" s="127">
        <f t="shared" si="924"/>
        <v>560</v>
      </c>
      <c r="AJ233" s="108">
        <f t="shared" si="925"/>
        <v>641</v>
      </c>
      <c r="AM233" s="108">
        <f t="shared" si="926"/>
        <v>1680.05</v>
      </c>
      <c r="AN233" s="108">
        <f t="shared" si="927"/>
        <v>1873.4</v>
      </c>
      <c r="AQ233" s="108">
        <f t="shared" si="928"/>
        <v>3360.05</v>
      </c>
      <c r="AR233" s="108">
        <f t="shared" si="929"/>
        <v>3796.4</v>
      </c>
      <c r="AT233" s="138"/>
      <c r="AU233" s="138">
        <f t="shared" si="1054"/>
        <v>1680.05</v>
      </c>
      <c r="AV233" s="138">
        <f t="shared" si="995"/>
        <v>1923.41</v>
      </c>
      <c r="AW233" s="138"/>
      <c r="AX233" s="138"/>
      <c r="AY233" s="116">
        <f t="shared" si="903"/>
        <v>5600.1</v>
      </c>
      <c r="AZ233" s="108">
        <f t="shared" si="904"/>
        <v>6360.81</v>
      </c>
      <c r="BA233" s="108">
        <f t="shared" si="905"/>
        <v>11960.91</v>
      </c>
      <c r="BB233" s="152">
        <v>5524.79</v>
      </c>
      <c r="BC233" s="139">
        <v>6677.92</v>
      </c>
      <c r="BD233" s="139">
        <f t="shared" si="906"/>
        <v>75.3100000000004</v>
      </c>
      <c r="BE233" s="139">
        <f t="shared" si="907"/>
        <v>-317.10999999999967</v>
      </c>
      <c r="BF233" s="139">
        <f t="shared" si="908"/>
        <v>1104.96</v>
      </c>
      <c r="BG233" s="139">
        <f t="shared" si="909"/>
        <v>1335.58</v>
      </c>
      <c r="BH233" s="108">
        <v>514.83000000000004</v>
      </c>
      <c r="BI233" s="108">
        <v>776.35</v>
      </c>
      <c r="BL233" s="108">
        <f t="shared" si="948"/>
        <v>6114.93</v>
      </c>
      <c r="BM233" s="108">
        <f t="shared" si="951"/>
        <v>7137.1600000000008</v>
      </c>
      <c r="BN233" s="108">
        <f t="shared" si="952"/>
        <v>13252.09</v>
      </c>
      <c r="BO233" s="108">
        <v>6090.08</v>
      </c>
      <c r="BP233" s="127">
        <v>7297.64</v>
      </c>
      <c r="BQ233" s="108">
        <f t="shared" si="953"/>
        <v>24.850000000000364</v>
      </c>
      <c r="BR233" s="108">
        <f t="shared" si="954"/>
        <v>-160.47999999999956</v>
      </c>
      <c r="BS233" s="108">
        <f t="shared" si="955"/>
        <v>553.64</v>
      </c>
      <c r="BT233" s="108">
        <f t="shared" si="956"/>
        <v>663.42</v>
      </c>
      <c r="BU233" s="108">
        <f t="shared" si="987"/>
        <v>528.78999999999962</v>
      </c>
      <c r="BV233" s="108">
        <f>ROUND(BT233-BR233,2)</f>
        <v>823.9</v>
      </c>
      <c r="BW233" s="109">
        <v>76.28</v>
      </c>
      <c r="BX233" s="108">
        <v>138.94</v>
      </c>
      <c r="CA233" s="108">
        <v>6720</v>
      </c>
      <c r="CB233" s="108">
        <v>8100</v>
      </c>
      <c r="CC233">
        <v>7392</v>
      </c>
      <c r="CD233">
        <v>9315</v>
      </c>
      <c r="CE233" s="189">
        <v>616</v>
      </c>
      <c r="CF233" s="189">
        <v>776</v>
      </c>
      <c r="CG233" s="189">
        <f t="shared" si="957"/>
        <v>1680</v>
      </c>
      <c r="CH233" s="189">
        <f t="shared" si="958"/>
        <v>2025</v>
      </c>
      <c r="CI233" s="150"/>
      <c r="CJ233" s="150"/>
      <c r="CK233" s="150">
        <v>1840</v>
      </c>
      <c r="CL233" s="150">
        <f>2300-120</f>
        <v>2180</v>
      </c>
      <c r="CM233" s="150"/>
      <c r="CN233" s="150"/>
      <c r="CO233" s="150">
        <v>7350</v>
      </c>
      <c r="CP233" s="150">
        <v>8400</v>
      </c>
      <c r="CQ233" s="150">
        <f t="shared" si="959"/>
        <v>7360</v>
      </c>
      <c r="CR233" s="150">
        <f t="shared" si="960"/>
        <v>8720</v>
      </c>
      <c r="CS233" s="150">
        <f t="shared" si="961"/>
        <v>7350</v>
      </c>
      <c r="CT233" s="150">
        <f t="shared" si="962"/>
        <v>8400</v>
      </c>
      <c r="CU233" s="150">
        <f t="shared" ref="CU233:CU234" si="1107">IF(CQ233&lt;CS233,CQ233,CS233)</f>
        <v>7350</v>
      </c>
      <c r="CV233" s="150">
        <f t="shared" ref="CV233:CV234" si="1108">IF(CR233&lt;CT233,CR233,CT233)</f>
        <v>8400</v>
      </c>
      <c r="CW233" s="150">
        <f t="shared" si="963"/>
        <v>1837.5</v>
      </c>
      <c r="CX233" s="150">
        <f t="shared" si="963"/>
        <v>2100</v>
      </c>
      <c r="CY233" s="150"/>
      <c r="CZ233" s="150"/>
      <c r="DA233" s="150">
        <f t="shared" si="964"/>
        <v>4293.5</v>
      </c>
      <c r="DB233" s="150">
        <f t="shared" si="965"/>
        <v>5056</v>
      </c>
      <c r="DC233" s="150">
        <v>4120.47</v>
      </c>
      <c r="DD233" s="150">
        <v>5112.4799999999996</v>
      </c>
      <c r="DE233" s="150">
        <f t="shared" si="966"/>
        <v>173.02999999999975</v>
      </c>
      <c r="DF233" s="150">
        <f t="shared" si="967"/>
        <v>-56.479999999999563</v>
      </c>
      <c r="DG233" s="150">
        <f t="shared" si="1099"/>
        <v>1837.5</v>
      </c>
      <c r="DH233" s="150">
        <f t="shared" si="1099"/>
        <v>2100</v>
      </c>
      <c r="DI233" s="150">
        <f t="shared" si="1100"/>
        <v>1664.4700000000003</v>
      </c>
      <c r="DJ233" s="150">
        <f t="shared" si="1100"/>
        <v>2156.4799999999996</v>
      </c>
      <c r="DK233" s="104">
        <f t="shared" si="839"/>
        <v>1642.0299999999997</v>
      </c>
      <c r="DL233" s="104">
        <f t="shared" si="840"/>
        <v>1482.5200000000004</v>
      </c>
      <c r="DM233" s="104">
        <f t="shared" si="949"/>
        <v>1392.0299999999997</v>
      </c>
      <c r="DN233" s="104">
        <f t="shared" si="950"/>
        <v>1187.5200000000004</v>
      </c>
      <c r="DO233" s="104">
        <v>7600</v>
      </c>
      <c r="DP233" s="104">
        <v>8695</v>
      </c>
      <c r="DQ233" s="104">
        <v>8300</v>
      </c>
      <c r="DR233" s="104">
        <v>8800</v>
      </c>
    </row>
    <row r="234" spans="1:125" ht="18.75">
      <c r="A234" s="13">
        <v>8</v>
      </c>
      <c r="B234" s="13"/>
      <c r="C234" s="14"/>
      <c r="D234" s="15" t="s">
        <v>384</v>
      </c>
      <c r="E234" s="16"/>
      <c r="F234" s="81">
        <v>0</v>
      </c>
      <c r="G234" s="81">
        <v>0</v>
      </c>
      <c r="H234" s="81">
        <v>0</v>
      </c>
      <c r="I234" s="17">
        <v>0</v>
      </c>
      <c r="J234" s="86">
        <v>0</v>
      </c>
      <c r="K234" s="87">
        <v>0</v>
      </c>
      <c r="L234" s="87">
        <v>0</v>
      </c>
      <c r="M234" s="87">
        <f t="shared" si="1105"/>
        <v>0</v>
      </c>
      <c r="N234" s="87">
        <v>0</v>
      </c>
      <c r="O234" s="87">
        <v>0</v>
      </c>
      <c r="P234" s="87">
        <v>0</v>
      </c>
      <c r="Q234" s="87">
        <f t="shared" si="1106"/>
        <v>0</v>
      </c>
      <c r="R234" s="87">
        <f t="shared" si="1094"/>
        <v>0</v>
      </c>
      <c r="S234" s="87">
        <v>0</v>
      </c>
      <c r="V234" s="17">
        <f t="shared" si="1095"/>
        <v>0</v>
      </c>
      <c r="W234" s="17">
        <f t="shared" si="1096"/>
        <v>0</v>
      </c>
      <c r="X234" s="108">
        <f t="shared" si="917"/>
        <v>0</v>
      </c>
      <c r="Y234" s="108">
        <f t="shared" si="918"/>
        <v>0</v>
      </c>
      <c r="Z234" s="108">
        <v>0</v>
      </c>
      <c r="AA234" s="108"/>
      <c r="AB234" s="108">
        <f t="shared" si="919"/>
        <v>0</v>
      </c>
      <c r="AC234" s="109">
        <f t="shared" si="920"/>
        <v>0</v>
      </c>
      <c r="AD234" s="108">
        <f t="shared" ref="AD234" si="1109">IF(X234&gt;0,V234,R234)</f>
        <v>0</v>
      </c>
      <c r="AE234" s="108">
        <f t="shared" ref="AE234" si="1110">IF(Y234&gt;0,W234,S234)</f>
        <v>0</v>
      </c>
      <c r="AF234" s="108">
        <f t="shared" si="921"/>
        <v>0</v>
      </c>
      <c r="AG234" s="108">
        <f t="shared" si="922"/>
        <v>0</v>
      </c>
      <c r="AH234" s="108">
        <f t="shared" si="923"/>
        <v>0</v>
      </c>
      <c r="AI234" s="127">
        <f t="shared" si="924"/>
        <v>0</v>
      </c>
      <c r="AJ234" s="108">
        <f t="shared" si="925"/>
        <v>0</v>
      </c>
      <c r="AM234" s="108">
        <f t="shared" si="926"/>
        <v>0</v>
      </c>
      <c r="AN234" s="108">
        <f t="shared" si="927"/>
        <v>0</v>
      </c>
      <c r="AQ234" s="108">
        <f t="shared" si="928"/>
        <v>0</v>
      </c>
      <c r="AR234" s="108">
        <f t="shared" si="929"/>
        <v>0</v>
      </c>
      <c r="AU234" s="108">
        <f t="shared" si="1054"/>
        <v>0</v>
      </c>
      <c r="AV234" s="108">
        <f t="shared" si="995"/>
        <v>0</v>
      </c>
      <c r="AY234" s="108">
        <f t="shared" si="903"/>
        <v>0</v>
      </c>
      <c r="AZ234" s="108">
        <f t="shared" si="904"/>
        <v>0</v>
      </c>
      <c r="BA234" s="108">
        <f t="shared" si="905"/>
        <v>0</v>
      </c>
      <c r="BB234" s="152">
        <v>0</v>
      </c>
      <c r="BD234" s="139">
        <f t="shared" si="906"/>
        <v>0</v>
      </c>
      <c r="BE234" s="139">
        <f t="shared" si="907"/>
        <v>0</v>
      </c>
      <c r="BF234" s="139">
        <f t="shared" si="908"/>
        <v>0</v>
      </c>
      <c r="BG234" s="139">
        <f t="shared" si="909"/>
        <v>0</v>
      </c>
      <c r="BH234" s="108">
        <v>0</v>
      </c>
      <c r="BI234" s="108">
        <v>0</v>
      </c>
      <c r="BL234" s="108">
        <f t="shared" si="948"/>
        <v>0</v>
      </c>
      <c r="BM234" s="108">
        <f t="shared" si="951"/>
        <v>0</v>
      </c>
      <c r="BN234" s="108">
        <f t="shared" si="952"/>
        <v>0</v>
      </c>
      <c r="BO234" s="108">
        <v>0</v>
      </c>
      <c r="BP234" s="127"/>
      <c r="BQ234" s="108">
        <f t="shared" si="953"/>
        <v>0</v>
      </c>
      <c r="BR234" s="108">
        <f t="shared" si="954"/>
        <v>0</v>
      </c>
      <c r="BS234" s="108">
        <f t="shared" si="955"/>
        <v>0</v>
      </c>
      <c r="BT234" s="108">
        <f t="shared" si="956"/>
        <v>0</v>
      </c>
      <c r="BU234" s="108">
        <f t="shared" si="987"/>
        <v>0</v>
      </c>
      <c r="BV234" s="108">
        <f t="shared" ref="BV234:BV237" si="1111">ROUND(BT234-BR234,2)</f>
        <v>0</v>
      </c>
      <c r="CA234" s="108">
        <v>0</v>
      </c>
      <c r="CB234" s="108">
        <v>0</v>
      </c>
      <c r="CC234">
        <v>0</v>
      </c>
      <c r="CD234">
        <v>0</v>
      </c>
      <c r="CE234" s="189">
        <v>0</v>
      </c>
      <c r="CF234" s="189">
        <v>0</v>
      </c>
      <c r="CG234" s="189">
        <f t="shared" si="957"/>
        <v>0</v>
      </c>
      <c r="CH234" s="189">
        <f t="shared" si="958"/>
        <v>0</v>
      </c>
      <c r="CI234" s="150"/>
      <c r="CJ234" s="150"/>
      <c r="CK234" s="150">
        <v>0</v>
      </c>
      <c r="CL234" s="150">
        <v>0</v>
      </c>
      <c r="CM234" s="150"/>
      <c r="CN234" s="150"/>
      <c r="CO234" s="150"/>
      <c r="CP234" s="150"/>
      <c r="CQ234" s="150">
        <f t="shared" si="959"/>
        <v>0</v>
      </c>
      <c r="CR234" s="150">
        <f t="shared" si="960"/>
        <v>0</v>
      </c>
      <c r="CS234" s="150">
        <f t="shared" si="961"/>
        <v>0</v>
      </c>
      <c r="CT234" s="150">
        <f t="shared" si="962"/>
        <v>0</v>
      </c>
      <c r="CU234" s="150">
        <f t="shared" si="1107"/>
        <v>0</v>
      </c>
      <c r="CV234" s="150">
        <f t="shared" si="1108"/>
        <v>0</v>
      </c>
      <c r="CW234" s="150">
        <f t="shared" si="963"/>
        <v>0</v>
      </c>
      <c r="CX234" s="150">
        <f t="shared" si="963"/>
        <v>0</v>
      </c>
      <c r="CY234" s="150"/>
      <c r="CZ234" s="150"/>
      <c r="DA234" s="150">
        <f t="shared" si="964"/>
        <v>0</v>
      </c>
      <c r="DB234" s="150">
        <f t="shared" si="965"/>
        <v>0</v>
      </c>
      <c r="DC234" s="150">
        <v>0</v>
      </c>
      <c r="DD234" s="150">
        <v>0</v>
      </c>
      <c r="DE234" s="150">
        <f t="shared" si="966"/>
        <v>0</v>
      </c>
      <c r="DF234" s="150">
        <f t="shared" si="967"/>
        <v>0</v>
      </c>
      <c r="DG234" s="150">
        <f t="shared" si="1099"/>
        <v>0</v>
      </c>
      <c r="DH234" s="150">
        <f t="shared" si="1099"/>
        <v>0</v>
      </c>
      <c r="DI234" s="150">
        <f t="shared" si="1100"/>
        <v>0</v>
      </c>
      <c r="DJ234" s="150">
        <f t="shared" si="1100"/>
        <v>0</v>
      </c>
      <c r="DK234" s="104">
        <f t="shared" si="839"/>
        <v>0</v>
      </c>
      <c r="DL234" s="104">
        <f t="shared" si="840"/>
        <v>0</v>
      </c>
      <c r="DM234" s="104">
        <f t="shared" si="949"/>
        <v>0</v>
      </c>
      <c r="DN234" s="104">
        <f t="shared" si="950"/>
        <v>0</v>
      </c>
      <c r="DO234" s="104">
        <v>0</v>
      </c>
      <c r="DP234" s="104">
        <v>0</v>
      </c>
      <c r="DQ234" s="104">
        <v>0</v>
      </c>
      <c r="DR234" s="104">
        <v>0</v>
      </c>
    </row>
    <row r="235" spans="1:125" ht="18.75">
      <c r="A235" s="18"/>
      <c r="B235" s="18" t="s">
        <v>385</v>
      </c>
      <c r="C235" s="19" t="s">
        <v>153</v>
      </c>
      <c r="D235" s="20" t="s">
        <v>383</v>
      </c>
      <c r="E235" s="21" t="s">
        <v>386</v>
      </c>
      <c r="F235" s="22">
        <v>6349.9999999999991</v>
      </c>
      <c r="G235" s="22">
        <v>7302.23</v>
      </c>
      <c r="H235" s="22">
        <v>6349.9999999999991</v>
      </c>
      <c r="I235" s="22">
        <v>7450</v>
      </c>
      <c r="J235" s="88">
        <f t="shared" ref="J235:AA235" si="1112">+J233+J234</f>
        <v>8000</v>
      </c>
      <c r="K235" s="88">
        <f t="shared" si="1112"/>
        <v>0</v>
      </c>
      <c r="L235" s="88">
        <f t="shared" si="1112"/>
        <v>0</v>
      </c>
      <c r="M235" s="88">
        <f t="shared" si="1112"/>
        <v>8000</v>
      </c>
      <c r="N235" s="88">
        <f t="shared" si="1112"/>
        <v>0</v>
      </c>
      <c r="O235" s="88">
        <f t="shared" si="1112"/>
        <v>0</v>
      </c>
      <c r="P235" s="88">
        <f t="shared" si="1112"/>
        <v>0</v>
      </c>
      <c r="Q235" s="88">
        <f t="shared" si="1112"/>
        <v>0</v>
      </c>
      <c r="R235" s="88">
        <f t="shared" si="1112"/>
        <v>8000</v>
      </c>
      <c r="S235" s="88">
        <f t="shared" si="1112"/>
        <v>8990</v>
      </c>
      <c r="T235" s="88">
        <f t="shared" si="1112"/>
        <v>0</v>
      </c>
      <c r="U235" s="88">
        <f t="shared" si="1112"/>
        <v>0</v>
      </c>
      <c r="V235" s="88">
        <f t="shared" si="1112"/>
        <v>6720.21</v>
      </c>
      <c r="W235" s="88">
        <f t="shared" si="1112"/>
        <v>7693.62</v>
      </c>
      <c r="X235" s="88">
        <f t="shared" si="1112"/>
        <v>1279.79</v>
      </c>
      <c r="Y235" s="88">
        <f t="shared" si="1112"/>
        <v>1296.3800000000001</v>
      </c>
      <c r="Z235" s="88">
        <f t="shared" si="1112"/>
        <v>6720.21</v>
      </c>
      <c r="AA235" s="88">
        <f t="shared" si="1112"/>
        <v>0</v>
      </c>
      <c r="AB235" s="22">
        <f t="shared" si="919"/>
        <v>6720.21</v>
      </c>
      <c r="AC235" s="109">
        <f t="shared" si="920"/>
        <v>0</v>
      </c>
      <c r="AD235" s="22">
        <f t="shared" ref="AD235:CQ235" si="1113">+AD233+AD234</f>
        <v>6720.21</v>
      </c>
      <c r="AE235" s="22">
        <f t="shared" si="1113"/>
        <v>7693.62</v>
      </c>
      <c r="AF235" s="22">
        <f t="shared" si="1113"/>
        <v>8110.78</v>
      </c>
      <c r="AG235" s="22">
        <f t="shared" si="1113"/>
        <v>1680</v>
      </c>
      <c r="AH235" s="22">
        <f t="shared" si="1113"/>
        <v>1923</v>
      </c>
      <c r="AI235" s="118">
        <f t="shared" si="1113"/>
        <v>560</v>
      </c>
      <c r="AJ235" s="22">
        <f t="shared" si="1113"/>
        <v>641</v>
      </c>
      <c r="AK235" s="22">
        <f t="shared" si="1113"/>
        <v>0</v>
      </c>
      <c r="AL235" s="22">
        <f t="shared" si="1113"/>
        <v>0</v>
      </c>
      <c r="AM235" s="22">
        <f t="shared" si="1113"/>
        <v>1680.05</v>
      </c>
      <c r="AN235" s="22">
        <f t="shared" si="1113"/>
        <v>1873.4</v>
      </c>
      <c r="AO235" s="22">
        <f t="shared" si="1113"/>
        <v>0</v>
      </c>
      <c r="AP235" s="22">
        <f t="shared" si="1113"/>
        <v>0</v>
      </c>
      <c r="AQ235" s="22">
        <f t="shared" si="1113"/>
        <v>3360.05</v>
      </c>
      <c r="AR235" s="22">
        <f t="shared" si="1113"/>
        <v>3796.4</v>
      </c>
      <c r="AS235" s="22">
        <f t="shared" si="1113"/>
        <v>0</v>
      </c>
      <c r="AT235" s="22">
        <f t="shared" si="1113"/>
        <v>0</v>
      </c>
      <c r="AU235" s="22">
        <f t="shared" si="1113"/>
        <v>1680.05</v>
      </c>
      <c r="AV235" s="22">
        <f t="shared" si="1113"/>
        <v>1923.41</v>
      </c>
      <c r="AW235" s="22">
        <f t="shared" si="1113"/>
        <v>0</v>
      </c>
      <c r="AX235" s="22">
        <f t="shared" si="1113"/>
        <v>0</v>
      </c>
      <c r="AY235" s="22">
        <f t="shared" si="1113"/>
        <v>5600.1</v>
      </c>
      <c r="AZ235" s="22">
        <f t="shared" si="1113"/>
        <v>6360.81</v>
      </c>
      <c r="BA235" s="22">
        <f t="shared" si="1113"/>
        <v>11960.91</v>
      </c>
      <c r="BB235" s="22">
        <f t="shared" si="1113"/>
        <v>5524.79</v>
      </c>
      <c r="BC235" s="22">
        <f t="shared" si="1113"/>
        <v>6677.92</v>
      </c>
      <c r="BD235" s="22">
        <f t="shared" si="1113"/>
        <v>75.3100000000004</v>
      </c>
      <c r="BE235" s="22">
        <f t="shared" si="1113"/>
        <v>-317.10999999999967</v>
      </c>
      <c r="BF235" s="22">
        <f t="shared" si="1113"/>
        <v>1104.96</v>
      </c>
      <c r="BG235" s="118">
        <f t="shared" si="1113"/>
        <v>1335.58</v>
      </c>
      <c r="BH235" s="118">
        <f t="shared" si="1113"/>
        <v>514.83000000000004</v>
      </c>
      <c r="BI235" s="118">
        <f t="shared" si="1113"/>
        <v>776.35</v>
      </c>
      <c r="BJ235" s="118">
        <f t="shared" si="1113"/>
        <v>0</v>
      </c>
      <c r="BK235" s="118">
        <f t="shared" si="1113"/>
        <v>0</v>
      </c>
      <c r="BL235" s="118">
        <f t="shared" si="1113"/>
        <v>6114.93</v>
      </c>
      <c r="BM235" s="118">
        <f t="shared" si="1113"/>
        <v>7137.1600000000008</v>
      </c>
      <c r="BN235" s="118">
        <f t="shared" si="1113"/>
        <v>13252.09</v>
      </c>
      <c r="BO235" s="118">
        <f t="shared" si="1113"/>
        <v>6090.08</v>
      </c>
      <c r="BP235" s="118">
        <f t="shared" si="1113"/>
        <v>7297.64</v>
      </c>
      <c r="BQ235" s="22">
        <f t="shared" si="1113"/>
        <v>24.850000000000364</v>
      </c>
      <c r="BR235" s="22">
        <f t="shared" si="1113"/>
        <v>-160.47999999999956</v>
      </c>
      <c r="BS235" s="22">
        <f t="shared" si="1113"/>
        <v>553.64</v>
      </c>
      <c r="BT235" s="22">
        <f t="shared" si="1113"/>
        <v>663.42</v>
      </c>
      <c r="BU235" s="22">
        <f t="shared" si="1113"/>
        <v>528.78999999999962</v>
      </c>
      <c r="BV235" s="22">
        <f t="shared" si="1113"/>
        <v>823.9</v>
      </c>
      <c r="BW235" s="22">
        <f t="shared" si="1113"/>
        <v>76.28</v>
      </c>
      <c r="BX235" s="22">
        <f t="shared" si="1113"/>
        <v>138.94</v>
      </c>
      <c r="BY235" s="22">
        <f t="shared" si="1113"/>
        <v>0</v>
      </c>
      <c r="BZ235" s="22">
        <f t="shared" si="1113"/>
        <v>0</v>
      </c>
      <c r="CA235" s="22">
        <f t="shared" si="1113"/>
        <v>6720</v>
      </c>
      <c r="CB235" s="22">
        <f t="shared" si="1113"/>
        <v>8100</v>
      </c>
      <c r="CC235" s="22">
        <f t="shared" si="1113"/>
        <v>7392</v>
      </c>
      <c r="CD235" s="118">
        <f t="shared" si="1113"/>
        <v>9315</v>
      </c>
      <c r="CE235" s="190">
        <f t="shared" si="1113"/>
        <v>616</v>
      </c>
      <c r="CF235" s="190">
        <f t="shared" si="1113"/>
        <v>776</v>
      </c>
      <c r="CG235" s="190">
        <f t="shared" si="1113"/>
        <v>1680</v>
      </c>
      <c r="CH235" s="190">
        <f t="shared" si="1113"/>
        <v>2025</v>
      </c>
      <c r="CI235" s="190">
        <f t="shared" si="1113"/>
        <v>0</v>
      </c>
      <c r="CJ235" s="190">
        <f t="shared" si="1113"/>
        <v>0</v>
      </c>
      <c r="CK235" s="190">
        <f t="shared" si="1113"/>
        <v>1840</v>
      </c>
      <c r="CL235" s="190">
        <f t="shared" si="1113"/>
        <v>2180</v>
      </c>
      <c r="CM235" s="190">
        <f t="shared" si="1113"/>
        <v>0</v>
      </c>
      <c r="CN235" s="190">
        <f t="shared" si="1113"/>
        <v>0</v>
      </c>
      <c r="CO235" s="190">
        <f t="shared" si="1113"/>
        <v>7350</v>
      </c>
      <c r="CP235" s="190">
        <f t="shared" si="1113"/>
        <v>8400</v>
      </c>
      <c r="CQ235" s="190">
        <f t="shared" si="1113"/>
        <v>7360</v>
      </c>
      <c r="CR235" s="190">
        <f t="shared" ref="CR235:DP235" si="1114">+CR233+CR234</f>
        <v>8720</v>
      </c>
      <c r="CS235" s="190">
        <f t="shared" si="1114"/>
        <v>7350</v>
      </c>
      <c r="CT235" s="190">
        <f t="shared" si="1114"/>
        <v>8400</v>
      </c>
      <c r="CU235" s="190">
        <f t="shared" si="1114"/>
        <v>7350</v>
      </c>
      <c r="CV235" s="190">
        <f t="shared" si="1114"/>
        <v>8400</v>
      </c>
      <c r="CW235" s="190">
        <f t="shared" si="1114"/>
        <v>1837.5</v>
      </c>
      <c r="CX235" s="190">
        <f t="shared" si="1114"/>
        <v>2100</v>
      </c>
      <c r="CY235" s="190">
        <f t="shared" si="1114"/>
        <v>0</v>
      </c>
      <c r="CZ235" s="190">
        <f t="shared" si="1114"/>
        <v>0</v>
      </c>
      <c r="DA235" s="190">
        <f t="shared" si="1114"/>
        <v>4293.5</v>
      </c>
      <c r="DB235" s="190">
        <f t="shared" si="1114"/>
        <v>5056</v>
      </c>
      <c r="DC235" s="190">
        <f t="shared" si="1114"/>
        <v>4120.47</v>
      </c>
      <c r="DD235" s="190">
        <f t="shared" si="1114"/>
        <v>5112.4799999999996</v>
      </c>
      <c r="DE235" s="190">
        <f t="shared" si="1114"/>
        <v>173.02999999999975</v>
      </c>
      <c r="DF235" s="190">
        <f t="shared" si="1114"/>
        <v>-56.479999999999563</v>
      </c>
      <c r="DG235" s="190">
        <f t="shared" si="1114"/>
        <v>1837.5</v>
      </c>
      <c r="DH235" s="190">
        <f t="shared" si="1114"/>
        <v>2100</v>
      </c>
      <c r="DI235" s="190">
        <f t="shared" si="1114"/>
        <v>1664.4700000000003</v>
      </c>
      <c r="DJ235" s="190">
        <f t="shared" si="1114"/>
        <v>2156.4799999999996</v>
      </c>
      <c r="DK235" s="104">
        <f t="shared" si="839"/>
        <v>1642.0299999999997</v>
      </c>
      <c r="DL235" s="104">
        <f t="shared" si="840"/>
        <v>1482.5200000000004</v>
      </c>
      <c r="DM235" s="104">
        <f t="shared" si="949"/>
        <v>1392.0299999999997</v>
      </c>
      <c r="DN235" s="104">
        <f t="shared" si="950"/>
        <v>1187.5200000000004</v>
      </c>
      <c r="DO235" s="22">
        <f t="shared" si="1114"/>
        <v>7600</v>
      </c>
      <c r="DP235" s="22">
        <f t="shared" si="1114"/>
        <v>8695</v>
      </c>
      <c r="DQ235" s="22">
        <f t="shared" ref="DQ235:DR235" si="1115">+DQ233+DQ234</f>
        <v>8300</v>
      </c>
      <c r="DR235" s="22">
        <f t="shared" si="1115"/>
        <v>8800</v>
      </c>
    </row>
    <row r="236" spans="1:125" ht="18.75">
      <c r="A236" s="13">
        <v>9</v>
      </c>
      <c r="B236" s="13"/>
      <c r="C236" s="14"/>
      <c r="D236" s="15" t="s">
        <v>387</v>
      </c>
      <c r="E236" s="16"/>
      <c r="F236" s="81">
        <v>1382.9899999999998</v>
      </c>
      <c r="G236" s="81">
        <v>155.43</v>
      </c>
      <c r="H236" s="81">
        <v>1382.9899999999998</v>
      </c>
      <c r="I236" s="17">
        <v>155.43</v>
      </c>
      <c r="J236" s="86">
        <v>1600</v>
      </c>
      <c r="K236" s="87"/>
      <c r="L236" s="87">
        <v>0.5</v>
      </c>
      <c r="M236" s="87">
        <f t="shared" ref="M236:M237" si="1116">J236+K236+L236</f>
        <v>1600.5</v>
      </c>
      <c r="N236" s="87">
        <v>0</v>
      </c>
      <c r="O236" s="87">
        <v>0</v>
      </c>
      <c r="P236" s="87">
        <v>0</v>
      </c>
      <c r="Q236" s="87">
        <f t="shared" ref="Q236:Q237" si="1117">N236+O236+P236</f>
        <v>0</v>
      </c>
      <c r="R236" s="87">
        <f t="shared" ref="R236:R237" si="1118">+Q236+M236</f>
        <v>1600.5</v>
      </c>
      <c r="S236" s="87">
        <v>240</v>
      </c>
      <c r="V236" s="17">
        <f t="shared" ref="V236:V237" si="1119">ROUND(H236*1.0583,2)</f>
        <v>1463.62</v>
      </c>
      <c r="W236" s="17">
        <f t="shared" ref="W236:W237" si="1120">ROUND(I236*1.0327,2)</f>
        <v>160.51</v>
      </c>
      <c r="X236" s="108">
        <f t="shared" si="917"/>
        <v>136.88000000000011</v>
      </c>
      <c r="Y236" s="108">
        <f t="shared" si="918"/>
        <v>79.490000000000009</v>
      </c>
      <c r="Z236" s="108">
        <v>1463.62</v>
      </c>
      <c r="AA236" s="108"/>
      <c r="AB236" s="108">
        <f t="shared" si="919"/>
        <v>1463.62</v>
      </c>
      <c r="AC236" s="109">
        <f t="shared" si="920"/>
        <v>0</v>
      </c>
      <c r="AD236" s="108">
        <f t="shared" ref="AD236" si="1121">IF(X236&gt;0,V236,R236)</f>
        <v>1463.62</v>
      </c>
      <c r="AE236" s="108">
        <f t="shared" ref="AE236" si="1122">IF(Y236&gt;0,W236,S236)</f>
        <v>160.51</v>
      </c>
      <c r="AF236" s="108">
        <f t="shared" si="921"/>
        <v>216.53</v>
      </c>
      <c r="AG236" s="108">
        <f t="shared" si="922"/>
        <v>366</v>
      </c>
      <c r="AH236" s="108">
        <f t="shared" si="923"/>
        <v>40</v>
      </c>
      <c r="AI236" s="127">
        <f t="shared" si="924"/>
        <v>122</v>
      </c>
      <c r="AJ236" s="108">
        <f t="shared" si="925"/>
        <v>13</v>
      </c>
      <c r="AM236" s="108">
        <f t="shared" si="926"/>
        <v>365.91</v>
      </c>
      <c r="AN236" s="108">
        <f t="shared" si="927"/>
        <v>39.08</v>
      </c>
      <c r="AQ236" s="108">
        <f t="shared" si="928"/>
        <v>731.91000000000008</v>
      </c>
      <c r="AR236" s="108">
        <f t="shared" si="929"/>
        <v>79.08</v>
      </c>
      <c r="AU236" s="116">
        <f t="shared" si="1054"/>
        <v>365.91</v>
      </c>
      <c r="AV236" s="116">
        <f t="shared" si="995"/>
        <v>40.130000000000003</v>
      </c>
      <c r="AW236" s="143">
        <v>150</v>
      </c>
      <c r="AX236" s="116"/>
      <c r="AY236" s="108">
        <f t="shared" si="903"/>
        <v>1369.8200000000002</v>
      </c>
      <c r="AZ236" s="108">
        <f t="shared" si="904"/>
        <v>132.21</v>
      </c>
      <c r="BA236" s="108">
        <f t="shared" si="905"/>
        <v>1502.0300000000002</v>
      </c>
      <c r="BB236" s="152">
        <v>1259.0999999999999</v>
      </c>
      <c r="BC236" s="139">
        <v>229.06</v>
      </c>
      <c r="BD236" s="139">
        <f t="shared" si="906"/>
        <v>110.72000000000025</v>
      </c>
      <c r="BE236" s="139">
        <f t="shared" si="907"/>
        <v>-96.85</v>
      </c>
      <c r="BF236" s="139">
        <f t="shared" si="908"/>
        <v>251.82</v>
      </c>
      <c r="BG236" s="139">
        <f t="shared" si="909"/>
        <v>45.81</v>
      </c>
      <c r="BH236" s="108">
        <v>70.55</v>
      </c>
      <c r="BI236" s="108">
        <v>62.5</v>
      </c>
      <c r="BL236" s="108">
        <f t="shared" si="948"/>
        <v>1440.3700000000001</v>
      </c>
      <c r="BM236" s="108">
        <f t="shared" si="951"/>
        <v>194.71</v>
      </c>
      <c r="BN236" s="108">
        <f t="shared" si="952"/>
        <v>1635.0800000000002</v>
      </c>
      <c r="BO236" s="108">
        <v>1383.92</v>
      </c>
      <c r="BP236" s="127">
        <v>268.27</v>
      </c>
      <c r="BQ236" s="108">
        <f t="shared" si="953"/>
        <v>56.450000000000045</v>
      </c>
      <c r="BR236" s="108">
        <f t="shared" si="954"/>
        <v>-73.559999999999974</v>
      </c>
      <c r="BS236" s="108">
        <f t="shared" si="955"/>
        <v>125.81</v>
      </c>
      <c r="BT236" s="108">
        <f t="shared" si="956"/>
        <v>24.39</v>
      </c>
      <c r="BU236" s="108">
        <f t="shared" si="987"/>
        <v>69.359999999999957</v>
      </c>
      <c r="BV236" s="108">
        <v>82.95</v>
      </c>
      <c r="BW236" s="109">
        <v>100</v>
      </c>
      <c r="BX236" s="108">
        <v>45</v>
      </c>
      <c r="CA236" s="108">
        <v>1609.73</v>
      </c>
      <c r="CB236" s="108">
        <v>322.66000000000003</v>
      </c>
      <c r="CC236">
        <v>1770.7</v>
      </c>
      <c r="CD236">
        <v>371.06</v>
      </c>
      <c r="CE236" s="189">
        <v>148</v>
      </c>
      <c r="CF236" s="189">
        <v>31</v>
      </c>
      <c r="CG236" s="189">
        <f t="shared" si="957"/>
        <v>402.43</v>
      </c>
      <c r="CH236" s="189">
        <f t="shared" si="958"/>
        <v>80.67</v>
      </c>
      <c r="CI236" s="150"/>
      <c r="CJ236" s="150"/>
      <c r="CK236" s="150">
        <v>415</v>
      </c>
      <c r="CL236" s="150">
        <f>100-20-0.02</f>
        <v>79.98</v>
      </c>
      <c r="CM236" s="150"/>
      <c r="CN236" s="150"/>
      <c r="CO236" s="150">
        <v>1683.5</v>
      </c>
      <c r="CP236" s="150">
        <v>200</v>
      </c>
      <c r="CQ236" s="150">
        <f t="shared" si="959"/>
        <v>1660</v>
      </c>
      <c r="CR236" s="150">
        <f t="shared" si="960"/>
        <v>319.92</v>
      </c>
      <c r="CS236" s="150">
        <f t="shared" si="961"/>
        <v>1660</v>
      </c>
      <c r="CT236" s="150">
        <f t="shared" si="962"/>
        <v>200</v>
      </c>
      <c r="CU236" s="150">
        <f t="shared" ref="CU236:CU237" si="1123">IF(CQ236&lt;CS236,CQ236,CS236)</f>
        <v>1660</v>
      </c>
      <c r="CV236" s="150">
        <f t="shared" ref="CV236:CV237" si="1124">IF(CR236&lt;CT236,CR236,CT236)</f>
        <v>200</v>
      </c>
      <c r="CW236" s="150">
        <f t="shared" si="963"/>
        <v>415</v>
      </c>
      <c r="CX236" s="150">
        <f>ROUND(CV236*25%,2)-30</f>
        <v>20</v>
      </c>
      <c r="CY236" s="150"/>
      <c r="CZ236" s="150"/>
      <c r="DA236" s="150">
        <f t="shared" si="964"/>
        <v>978</v>
      </c>
      <c r="DB236" s="150">
        <f t="shared" si="965"/>
        <v>130.98000000000002</v>
      </c>
      <c r="DC236" s="150">
        <v>905.58</v>
      </c>
      <c r="DD236" s="150">
        <v>96.66</v>
      </c>
      <c r="DE236" s="150">
        <f t="shared" si="966"/>
        <v>72.419999999999959</v>
      </c>
      <c r="DF236" s="150">
        <f t="shared" si="967"/>
        <v>34.320000000000022</v>
      </c>
      <c r="DG236" s="150">
        <f>ROUND(0.25*(MIN(CU236,DO236)),2)</f>
        <v>415</v>
      </c>
      <c r="DH236" s="150">
        <f>ROUND(0.25*(MIN(CV236,DP236)),2)</f>
        <v>50</v>
      </c>
      <c r="DI236" s="150">
        <f>+DG236-DE236</f>
        <v>342.58000000000004</v>
      </c>
      <c r="DJ236" s="150">
        <f>+DH236-DF236</f>
        <v>15.679999999999978</v>
      </c>
      <c r="DK236" s="104">
        <f t="shared" si="839"/>
        <v>339.41999999999996</v>
      </c>
      <c r="DL236" s="104">
        <f t="shared" si="840"/>
        <v>53.34</v>
      </c>
      <c r="DM236" s="104">
        <f t="shared" si="949"/>
        <v>339.41999999999996</v>
      </c>
      <c r="DN236" s="104">
        <f t="shared" si="950"/>
        <v>53.34</v>
      </c>
      <c r="DO236" s="104">
        <v>1660</v>
      </c>
      <c r="DP236" s="104">
        <v>200</v>
      </c>
      <c r="DQ236" s="104">
        <v>1909</v>
      </c>
      <c r="DR236" s="104">
        <v>230</v>
      </c>
    </row>
    <row r="237" spans="1:125" ht="18.75">
      <c r="A237" s="13">
        <v>10</v>
      </c>
      <c r="B237" s="13"/>
      <c r="C237" s="14"/>
      <c r="D237" s="15" t="s">
        <v>388</v>
      </c>
      <c r="E237" s="16"/>
      <c r="F237" s="81">
        <v>0</v>
      </c>
      <c r="G237" s="81">
        <v>0</v>
      </c>
      <c r="H237" s="81">
        <v>0</v>
      </c>
      <c r="I237" s="17">
        <v>0</v>
      </c>
      <c r="J237" s="86">
        <v>0</v>
      </c>
      <c r="K237" s="87">
        <v>0</v>
      </c>
      <c r="L237" s="87">
        <v>0</v>
      </c>
      <c r="M237" s="87">
        <f t="shared" si="1116"/>
        <v>0</v>
      </c>
      <c r="N237" s="87">
        <v>0</v>
      </c>
      <c r="O237" s="87">
        <v>0</v>
      </c>
      <c r="P237" s="87">
        <v>0</v>
      </c>
      <c r="Q237" s="87">
        <f t="shared" si="1117"/>
        <v>0</v>
      </c>
      <c r="R237" s="87">
        <f t="shared" si="1118"/>
        <v>0</v>
      </c>
      <c r="S237" s="87">
        <v>0</v>
      </c>
      <c r="V237" s="17">
        <f t="shared" si="1119"/>
        <v>0</v>
      </c>
      <c r="W237" s="17">
        <f t="shared" si="1120"/>
        <v>0</v>
      </c>
      <c r="X237" s="108">
        <f t="shared" si="917"/>
        <v>0</v>
      </c>
      <c r="Y237" s="108">
        <f t="shared" si="918"/>
        <v>0</v>
      </c>
      <c r="Z237" s="108">
        <v>0</v>
      </c>
      <c r="AA237" s="108"/>
      <c r="AB237" s="108">
        <f t="shared" si="919"/>
        <v>0</v>
      </c>
      <c r="AC237" s="109">
        <f t="shared" si="920"/>
        <v>0</v>
      </c>
      <c r="AD237" s="108">
        <f t="shared" ref="AD237" si="1125">IF(X237&gt;0,V237,R237)</f>
        <v>0</v>
      </c>
      <c r="AE237" s="108">
        <f t="shared" ref="AE237" si="1126">IF(Y237&gt;0,W237,S237)</f>
        <v>0</v>
      </c>
      <c r="AF237" s="108">
        <f t="shared" si="921"/>
        <v>0</v>
      </c>
      <c r="AG237" s="108">
        <f t="shared" si="922"/>
        <v>0</v>
      </c>
      <c r="AH237" s="108">
        <f t="shared" si="923"/>
        <v>0</v>
      </c>
      <c r="AI237" s="127">
        <f t="shared" si="924"/>
        <v>0</v>
      </c>
      <c r="AJ237" s="108">
        <f t="shared" si="925"/>
        <v>0</v>
      </c>
      <c r="AM237" s="108">
        <f t="shared" si="926"/>
        <v>0</v>
      </c>
      <c r="AN237" s="108">
        <f t="shared" si="927"/>
        <v>0</v>
      </c>
      <c r="AQ237" s="108">
        <f t="shared" si="928"/>
        <v>0</v>
      </c>
      <c r="AR237" s="108">
        <f t="shared" si="929"/>
        <v>0</v>
      </c>
      <c r="AU237" s="116">
        <f t="shared" si="1054"/>
        <v>0</v>
      </c>
      <c r="AV237" s="116">
        <f t="shared" si="995"/>
        <v>0</v>
      </c>
      <c r="AW237" s="116"/>
      <c r="AX237" s="116"/>
      <c r="AY237" s="108">
        <f t="shared" si="903"/>
        <v>0</v>
      </c>
      <c r="AZ237" s="108">
        <f t="shared" si="904"/>
        <v>0</v>
      </c>
      <c r="BA237" s="108">
        <f t="shared" si="905"/>
        <v>0</v>
      </c>
      <c r="BB237" s="152">
        <v>0</v>
      </c>
      <c r="BD237" s="139">
        <f t="shared" si="906"/>
        <v>0</v>
      </c>
      <c r="BE237" s="139">
        <f t="shared" si="907"/>
        <v>0</v>
      </c>
      <c r="BF237" s="139">
        <f t="shared" si="908"/>
        <v>0</v>
      </c>
      <c r="BG237" s="139">
        <f t="shared" si="909"/>
        <v>0</v>
      </c>
      <c r="BH237" s="108">
        <v>0</v>
      </c>
      <c r="BI237" s="108">
        <v>0</v>
      </c>
      <c r="BL237" s="108">
        <f t="shared" si="948"/>
        <v>0</v>
      </c>
      <c r="BM237" s="108">
        <f t="shared" si="951"/>
        <v>0</v>
      </c>
      <c r="BN237" s="108">
        <f t="shared" si="952"/>
        <v>0</v>
      </c>
      <c r="BO237" s="108">
        <v>0</v>
      </c>
      <c r="BP237" s="127"/>
      <c r="BQ237" s="108">
        <f t="shared" si="953"/>
        <v>0</v>
      </c>
      <c r="BR237" s="108">
        <f t="shared" si="954"/>
        <v>0</v>
      </c>
      <c r="BS237" s="108">
        <f t="shared" si="955"/>
        <v>0</v>
      </c>
      <c r="BT237" s="108">
        <f t="shared" si="956"/>
        <v>0</v>
      </c>
      <c r="BU237" s="108">
        <f t="shared" si="987"/>
        <v>0</v>
      </c>
      <c r="BV237" s="108">
        <f t="shared" si="1111"/>
        <v>0</v>
      </c>
      <c r="CA237" s="108">
        <v>0</v>
      </c>
      <c r="CB237" s="108">
        <v>0</v>
      </c>
      <c r="CC237">
        <v>0</v>
      </c>
      <c r="CD237">
        <v>0</v>
      </c>
      <c r="CE237" s="189">
        <v>0</v>
      </c>
      <c r="CF237" s="189">
        <v>0</v>
      </c>
      <c r="CG237" s="189">
        <f t="shared" si="957"/>
        <v>0</v>
      </c>
      <c r="CH237" s="189">
        <f t="shared" si="958"/>
        <v>0</v>
      </c>
      <c r="CI237" s="150"/>
      <c r="CJ237" s="150"/>
      <c r="CK237" s="150">
        <v>0</v>
      </c>
      <c r="CL237" s="150">
        <v>0</v>
      </c>
      <c r="CM237" s="150"/>
      <c r="CN237" s="150"/>
      <c r="CO237" s="150"/>
      <c r="CP237" s="150"/>
      <c r="CQ237" s="150">
        <f t="shared" si="959"/>
        <v>0</v>
      </c>
      <c r="CR237" s="150">
        <f t="shared" si="960"/>
        <v>0</v>
      </c>
      <c r="CS237" s="150">
        <f t="shared" si="961"/>
        <v>0</v>
      </c>
      <c r="CT237" s="150">
        <f t="shared" si="962"/>
        <v>0</v>
      </c>
      <c r="CU237" s="150">
        <f t="shared" si="1123"/>
        <v>0</v>
      </c>
      <c r="CV237" s="150">
        <f t="shared" si="1124"/>
        <v>0</v>
      </c>
      <c r="CW237" s="150">
        <f t="shared" si="963"/>
        <v>0</v>
      </c>
      <c r="CX237" s="150">
        <f t="shared" si="963"/>
        <v>0</v>
      </c>
      <c r="CY237" s="150"/>
      <c r="CZ237" s="150"/>
      <c r="DA237" s="150">
        <f t="shared" si="964"/>
        <v>0</v>
      </c>
      <c r="DB237" s="150">
        <f t="shared" si="965"/>
        <v>0</v>
      </c>
      <c r="DC237" s="150">
        <v>0</v>
      </c>
      <c r="DD237" s="150">
        <v>0</v>
      </c>
      <c r="DE237" s="150">
        <f t="shared" si="966"/>
        <v>0</v>
      </c>
      <c r="DF237" s="150">
        <f t="shared" si="967"/>
        <v>0</v>
      </c>
      <c r="DG237" s="150">
        <f>ROUND(0.25*(MIN(CU237,DO237)),2)</f>
        <v>0</v>
      </c>
      <c r="DH237" s="150">
        <f>ROUND(0.25*(MIN(CV237,DP237)),2)</f>
        <v>0</v>
      </c>
      <c r="DI237" s="150">
        <f>+DG237-DE237</f>
        <v>0</v>
      </c>
      <c r="DJ237" s="150">
        <f>+DH237-DF237</f>
        <v>0</v>
      </c>
      <c r="DK237" s="104">
        <f t="shared" si="839"/>
        <v>0</v>
      </c>
      <c r="DL237" s="104">
        <f t="shared" si="840"/>
        <v>0</v>
      </c>
      <c r="DM237" s="104">
        <f t="shared" si="949"/>
        <v>0</v>
      </c>
      <c r="DN237" s="104">
        <f t="shared" si="950"/>
        <v>0</v>
      </c>
      <c r="DO237" s="104">
        <v>0</v>
      </c>
      <c r="DP237" s="104">
        <v>0</v>
      </c>
      <c r="DQ237" s="104">
        <v>0</v>
      </c>
      <c r="DR237" s="104">
        <v>0</v>
      </c>
    </row>
    <row r="238" spans="1:125" ht="18.75">
      <c r="A238" s="18"/>
      <c r="B238" s="18" t="s">
        <v>389</v>
      </c>
      <c r="C238" s="19" t="s">
        <v>45</v>
      </c>
      <c r="D238" s="20" t="s">
        <v>387</v>
      </c>
      <c r="E238" s="21" t="s">
        <v>390</v>
      </c>
      <c r="F238" s="22">
        <v>1382.9899999999998</v>
      </c>
      <c r="G238" s="22">
        <v>155.43</v>
      </c>
      <c r="H238" s="22">
        <v>1382.9899999999998</v>
      </c>
      <c r="I238" s="22">
        <v>155.43</v>
      </c>
      <c r="J238" s="88">
        <f t="shared" ref="J238:AA238" si="1127">+J236+J237</f>
        <v>1600</v>
      </c>
      <c r="K238" s="88">
        <f t="shared" si="1127"/>
        <v>0</v>
      </c>
      <c r="L238" s="88">
        <f t="shared" si="1127"/>
        <v>0.5</v>
      </c>
      <c r="M238" s="88">
        <f t="shared" si="1127"/>
        <v>1600.5</v>
      </c>
      <c r="N238" s="88">
        <f t="shared" si="1127"/>
        <v>0</v>
      </c>
      <c r="O238" s="88">
        <f t="shared" si="1127"/>
        <v>0</v>
      </c>
      <c r="P238" s="88">
        <f t="shared" si="1127"/>
        <v>0</v>
      </c>
      <c r="Q238" s="88">
        <f t="shared" si="1127"/>
        <v>0</v>
      </c>
      <c r="R238" s="88">
        <f t="shared" si="1127"/>
        <v>1600.5</v>
      </c>
      <c r="S238" s="88">
        <f t="shared" si="1127"/>
        <v>240</v>
      </c>
      <c r="T238" s="88">
        <f t="shared" si="1127"/>
        <v>0</v>
      </c>
      <c r="U238" s="88">
        <f t="shared" si="1127"/>
        <v>0</v>
      </c>
      <c r="V238" s="88">
        <f t="shared" si="1127"/>
        <v>1463.62</v>
      </c>
      <c r="W238" s="88">
        <f t="shared" si="1127"/>
        <v>160.51</v>
      </c>
      <c r="X238" s="88">
        <f t="shared" si="1127"/>
        <v>136.88000000000011</v>
      </c>
      <c r="Y238" s="88">
        <f t="shared" si="1127"/>
        <v>79.490000000000009</v>
      </c>
      <c r="Z238" s="88">
        <f t="shared" si="1127"/>
        <v>1463.62</v>
      </c>
      <c r="AA238" s="88">
        <f t="shared" si="1127"/>
        <v>0</v>
      </c>
      <c r="AB238" s="22">
        <f t="shared" si="919"/>
        <v>1463.62</v>
      </c>
      <c r="AC238" s="109">
        <f t="shared" si="920"/>
        <v>0</v>
      </c>
      <c r="AD238" s="22">
        <f t="shared" ref="AD238:CQ238" si="1128">+AD236+AD237</f>
        <v>1463.62</v>
      </c>
      <c r="AE238" s="22">
        <f t="shared" si="1128"/>
        <v>160.51</v>
      </c>
      <c r="AF238" s="22">
        <f t="shared" si="1128"/>
        <v>216.53</v>
      </c>
      <c r="AG238" s="22">
        <f t="shared" si="1128"/>
        <v>366</v>
      </c>
      <c r="AH238" s="22">
        <f t="shared" si="1128"/>
        <v>40</v>
      </c>
      <c r="AI238" s="118">
        <f t="shared" si="1128"/>
        <v>122</v>
      </c>
      <c r="AJ238" s="22">
        <f t="shared" si="1128"/>
        <v>13</v>
      </c>
      <c r="AK238" s="22">
        <f t="shared" si="1128"/>
        <v>0</v>
      </c>
      <c r="AL238" s="22">
        <f t="shared" si="1128"/>
        <v>0</v>
      </c>
      <c r="AM238" s="22">
        <f t="shared" si="1128"/>
        <v>365.91</v>
      </c>
      <c r="AN238" s="22">
        <f t="shared" si="1128"/>
        <v>39.08</v>
      </c>
      <c r="AO238" s="22">
        <f t="shared" si="1128"/>
        <v>0</v>
      </c>
      <c r="AP238" s="22">
        <f t="shared" si="1128"/>
        <v>0</v>
      </c>
      <c r="AQ238" s="22">
        <f t="shared" si="1128"/>
        <v>731.91000000000008</v>
      </c>
      <c r="AR238" s="22">
        <f t="shared" si="1128"/>
        <v>79.08</v>
      </c>
      <c r="AS238" s="22">
        <f t="shared" si="1128"/>
        <v>0</v>
      </c>
      <c r="AT238" s="22">
        <f t="shared" si="1128"/>
        <v>0</v>
      </c>
      <c r="AU238" s="22">
        <f t="shared" si="1128"/>
        <v>365.91</v>
      </c>
      <c r="AV238" s="22">
        <f t="shared" si="1128"/>
        <v>40.130000000000003</v>
      </c>
      <c r="AW238" s="22">
        <f t="shared" si="1128"/>
        <v>150</v>
      </c>
      <c r="AX238" s="22">
        <f t="shared" si="1128"/>
        <v>0</v>
      </c>
      <c r="AY238" s="22">
        <f t="shared" si="1128"/>
        <v>1369.8200000000002</v>
      </c>
      <c r="AZ238" s="22">
        <f t="shared" si="1128"/>
        <v>132.21</v>
      </c>
      <c r="BA238" s="22">
        <f t="shared" si="1128"/>
        <v>1502.0300000000002</v>
      </c>
      <c r="BB238" s="22">
        <f t="shared" si="1128"/>
        <v>1259.0999999999999</v>
      </c>
      <c r="BC238" s="22">
        <f t="shared" si="1128"/>
        <v>229.06</v>
      </c>
      <c r="BD238" s="22">
        <f t="shared" si="1128"/>
        <v>110.72000000000025</v>
      </c>
      <c r="BE238" s="22">
        <f t="shared" si="1128"/>
        <v>-96.85</v>
      </c>
      <c r="BF238" s="22">
        <f t="shared" si="1128"/>
        <v>251.82</v>
      </c>
      <c r="BG238" s="118">
        <f t="shared" si="1128"/>
        <v>45.81</v>
      </c>
      <c r="BH238" s="118">
        <f t="shared" si="1128"/>
        <v>70.55</v>
      </c>
      <c r="BI238" s="118">
        <f t="shared" si="1128"/>
        <v>62.5</v>
      </c>
      <c r="BJ238" s="118">
        <f t="shared" si="1128"/>
        <v>0</v>
      </c>
      <c r="BK238" s="118">
        <f t="shared" si="1128"/>
        <v>0</v>
      </c>
      <c r="BL238" s="118">
        <f t="shared" si="1128"/>
        <v>1440.3700000000001</v>
      </c>
      <c r="BM238" s="118">
        <f t="shared" si="1128"/>
        <v>194.71</v>
      </c>
      <c r="BN238" s="118">
        <f t="shared" si="1128"/>
        <v>1635.0800000000002</v>
      </c>
      <c r="BO238" s="118">
        <f t="shared" si="1128"/>
        <v>1383.92</v>
      </c>
      <c r="BP238" s="118">
        <f t="shared" si="1128"/>
        <v>268.27</v>
      </c>
      <c r="BQ238" s="22">
        <f t="shared" si="1128"/>
        <v>56.450000000000045</v>
      </c>
      <c r="BR238" s="22">
        <f t="shared" si="1128"/>
        <v>-73.559999999999974</v>
      </c>
      <c r="BS238" s="22">
        <f t="shared" si="1128"/>
        <v>125.81</v>
      </c>
      <c r="BT238" s="22">
        <f t="shared" si="1128"/>
        <v>24.39</v>
      </c>
      <c r="BU238" s="22">
        <f t="shared" si="1128"/>
        <v>69.359999999999957</v>
      </c>
      <c r="BV238" s="22">
        <f t="shared" si="1128"/>
        <v>82.95</v>
      </c>
      <c r="BW238" s="22">
        <f t="shared" si="1128"/>
        <v>100</v>
      </c>
      <c r="BX238" s="22">
        <f t="shared" si="1128"/>
        <v>45</v>
      </c>
      <c r="BY238" s="22">
        <f t="shared" si="1128"/>
        <v>0</v>
      </c>
      <c r="BZ238" s="22">
        <f t="shared" si="1128"/>
        <v>0</v>
      </c>
      <c r="CA238" s="22">
        <f t="shared" si="1128"/>
        <v>1609.73</v>
      </c>
      <c r="CB238" s="22">
        <f t="shared" si="1128"/>
        <v>322.66000000000003</v>
      </c>
      <c r="CC238" s="22">
        <f t="shared" si="1128"/>
        <v>1770.7</v>
      </c>
      <c r="CD238" s="118">
        <f t="shared" si="1128"/>
        <v>371.06</v>
      </c>
      <c r="CE238" s="190">
        <f t="shared" si="1128"/>
        <v>148</v>
      </c>
      <c r="CF238" s="190">
        <f t="shared" si="1128"/>
        <v>31</v>
      </c>
      <c r="CG238" s="190">
        <f t="shared" si="1128"/>
        <v>402.43</v>
      </c>
      <c r="CH238" s="190">
        <f t="shared" si="1128"/>
        <v>80.67</v>
      </c>
      <c r="CI238" s="190">
        <f t="shared" si="1128"/>
        <v>0</v>
      </c>
      <c r="CJ238" s="190">
        <f t="shared" si="1128"/>
        <v>0</v>
      </c>
      <c r="CK238" s="190">
        <f t="shared" si="1128"/>
        <v>415</v>
      </c>
      <c r="CL238" s="190">
        <f t="shared" si="1128"/>
        <v>79.98</v>
      </c>
      <c r="CM238" s="190">
        <f t="shared" si="1128"/>
        <v>0</v>
      </c>
      <c r="CN238" s="190">
        <f t="shared" si="1128"/>
        <v>0</v>
      </c>
      <c r="CO238" s="190">
        <f t="shared" si="1128"/>
        <v>1683.5</v>
      </c>
      <c r="CP238" s="190">
        <f t="shared" si="1128"/>
        <v>200</v>
      </c>
      <c r="CQ238" s="190">
        <f t="shared" si="1128"/>
        <v>1660</v>
      </c>
      <c r="CR238" s="190">
        <f t="shared" ref="CR238:DR238" si="1129">+CR236+CR237</f>
        <v>319.92</v>
      </c>
      <c r="CS238" s="190">
        <f t="shared" si="1129"/>
        <v>1660</v>
      </c>
      <c r="CT238" s="190">
        <f t="shared" si="1129"/>
        <v>200</v>
      </c>
      <c r="CU238" s="190">
        <f t="shared" si="1129"/>
        <v>1660</v>
      </c>
      <c r="CV238" s="190">
        <f t="shared" si="1129"/>
        <v>200</v>
      </c>
      <c r="CW238" s="190">
        <f t="shared" si="1129"/>
        <v>415</v>
      </c>
      <c r="CX238" s="190">
        <f t="shared" si="1129"/>
        <v>20</v>
      </c>
      <c r="CY238" s="190">
        <f t="shared" si="1129"/>
        <v>0</v>
      </c>
      <c r="CZ238" s="190">
        <f t="shared" si="1129"/>
        <v>0</v>
      </c>
      <c r="DA238" s="190">
        <f t="shared" si="1129"/>
        <v>978</v>
      </c>
      <c r="DB238" s="190">
        <f t="shared" si="1129"/>
        <v>130.98000000000002</v>
      </c>
      <c r="DC238" s="190">
        <f t="shared" si="1129"/>
        <v>905.58</v>
      </c>
      <c r="DD238" s="190">
        <f t="shared" si="1129"/>
        <v>96.66</v>
      </c>
      <c r="DE238" s="190">
        <f t="shared" si="1129"/>
        <v>72.419999999999959</v>
      </c>
      <c r="DF238" s="190">
        <f t="shared" si="1129"/>
        <v>34.320000000000022</v>
      </c>
      <c r="DG238" s="190">
        <f t="shared" si="1129"/>
        <v>415</v>
      </c>
      <c r="DH238" s="190">
        <f t="shared" si="1129"/>
        <v>50</v>
      </c>
      <c r="DI238" s="190">
        <f t="shared" si="1129"/>
        <v>342.58000000000004</v>
      </c>
      <c r="DJ238" s="190">
        <f t="shared" si="1129"/>
        <v>15.679999999999978</v>
      </c>
      <c r="DK238" s="104">
        <f t="shared" si="839"/>
        <v>339.41999999999996</v>
      </c>
      <c r="DL238" s="104">
        <f t="shared" si="840"/>
        <v>53.34</v>
      </c>
      <c r="DM238" s="104">
        <f t="shared" si="949"/>
        <v>339.41999999999996</v>
      </c>
      <c r="DN238" s="104">
        <f t="shared" si="950"/>
        <v>53.34</v>
      </c>
      <c r="DO238" s="22">
        <f t="shared" si="1129"/>
        <v>1660</v>
      </c>
      <c r="DP238" s="22">
        <f t="shared" si="1129"/>
        <v>200</v>
      </c>
      <c r="DQ238" s="22">
        <f t="shared" si="1129"/>
        <v>1909</v>
      </c>
      <c r="DR238" s="22">
        <f t="shared" si="1129"/>
        <v>230</v>
      </c>
    </row>
    <row r="239" spans="1:125" ht="18.75">
      <c r="A239" s="18">
        <v>11</v>
      </c>
      <c r="B239" s="18" t="s">
        <v>391</v>
      </c>
      <c r="C239" s="19" t="s">
        <v>293</v>
      </c>
      <c r="D239" s="181" t="s">
        <v>392</v>
      </c>
      <c r="E239" s="21" t="s">
        <v>393</v>
      </c>
      <c r="F239" s="81">
        <v>699.44</v>
      </c>
      <c r="G239" s="81">
        <v>1.8899999999999997</v>
      </c>
      <c r="H239" s="81">
        <v>699.44</v>
      </c>
      <c r="I239" s="22">
        <v>0.99999999999999967</v>
      </c>
      <c r="J239" s="88">
        <v>796</v>
      </c>
      <c r="K239" s="88">
        <v>0</v>
      </c>
      <c r="L239" s="88">
        <v>0</v>
      </c>
      <c r="M239" s="88">
        <f t="shared" ref="M239" si="1130">+L239+K239+J239</f>
        <v>796</v>
      </c>
      <c r="N239" s="88">
        <v>0</v>
      </c>
      <c r="O239" s="88">
        <v>0</v>
      </c>
      <c r="P239" s="88">
        <v>0</v>
      </c>
      <c r="Q239" s="88">
        <f t="shared" ref="Q239" si="1131">+P239+O239+N239</f>
        <v>0</v>
      </c>
      <c r="R239" s="88">
        <f t="shared" ref="R239" si="1132">+Q239+M239</f>
        <v>796</v>
      </c>
      <c r="S239" s="88">
        <v>0</v>
      </c>
      <c r="V239" s="22">
        <f t="shared" ref="V239" si="1133">ROUND(H239*1.0583,2)</f>
        <v>740.22</v>
      </c>
      <c r="W239" s="22">
        <f t="shared" ref="W239" si="1134">ROUND(I239*1.0327,2)</f>
        <v>1.03</v>
      </c>
      <c r="X239" s="22">
        <f t="shared" si="917"/>
        <v>55.779999999999973</v>
      </c>
      <c r="Y239" s="22">
        <f t="shared" si="918"/>
        <v>-1.03</v>
      </c>
      <c r="Z239" s="22">
        <v>740.22</v>
      </c>
      <c r="AA239" s="22"/>
      <c r="AB239" s="22">
        <f t="shared" si="919"/>
        <v>740.22</v>
      </c>
      <c r="AC239" s="109">
        <f t="shared" si="920"/>
        <v>0</v>
      </c>
      <c r="AD239" s="22">
        <f t="shared" ref="AD239" si="1135">IF(X239&gt;0,V239,R239)</f>
        <v>740.22</v>
      </c>
      <c r="AE239" s="22">
        <f>IF(Y239&gt;0,W239,S239)+28.25</f>
        <v>28.25</v>
      </c>
      <c r="AF239" s="22">
        <f t="shared" si="921"/>
        <v>0</v>
      </c>
      <c r="AG239" s="108">
        <f t="shared" si="922"/>
        <v>185</v>
      </c>
      <c r="AH239" s="108">
        <f>ROUND(AE239/4,0)-7</f>
        <v>0</v>
      </c>
      <c r="AI239" s="127">
        <f t="shared" si="924"/>
        <v>62</v>
      </c>
      <c r="AJ239" s="108">
        <f>ROUND(AE239/12,0)-2</f>
        <v>0</v>
      </c>
      <c r="AM239" s="108">
        <f t="shared" si="926"/>
        <v>185.06</v>
      </c>
      <c r="AN239" s="108">
        <f>ROUND(AE239*24.35%,2)-6.88</f>
        <v>0</v>
      </c>
      <c r="AO239" s="116"/>
      <c r="AP239" s="143">
        <v>28.25</v>
      </c>
      <c r="AQ239" s="116">
        <f t="shared" si="928"/>
        <v>370.06</v>
      </c>
      <c r="AR239" s="116">
        <f t="shared" si="929"/>
        <v>28.25</v>
      </c>
      <c r="AS239" s="116"/>
      <c r="AT239" s="116"/>
      <c r="AU239" s="116">
        <f t="shared" si="1054"/>
        <v>185.06</v>
      </c>
      <c r="AV239" s="116">
        <f>ROUND(AE239*25%,2)-7.06</f>
        <v>0</v>
      </c>
      <c r="AW239" s="143">
        <v>30</v>
      </c>
      <c r="AY239" s="108">
        <f t="shared" si="903"/>
        <v>647.12</v>
      </c>
      <c r="AZ239" s="108">
        <f t="shared" si="904"/>
        <v>28.25</v>
      </c>
      <c r="BA239" s="108">
        <f t="shared" si="905"/>
        <v>675.37</v>
      </c>
      <c r="BB239" s="152">
        <v>619.52</v>
      </c>
      <c r="BC239" s="139">
        <v>27.89</v>
      </c>
      <c r="BD239" s="139">
        <f t="shared" si="906"/>
        <v>27.600000000000023</v>
      </c>
      <c r="BE239" s="139">
        <f t="shared" si="907"/>
        <v>0.35999999999999943</v>
      </c>
      <c r="BF239" s="139">
        <f t="shared" si="908"/>
        <v>123.9</v>
      </c>
      <c r="BG239" s="139">
        <f t="shared" si="909"/>
        <v>5.58</v>
      </c>
      <c r="BH239" s="108">
        <v>48.15</v>
      </c>
      <c r="BI239" s="108">
        <v>0</v>
      </c>
      <c r="BJ239" s="108">
        <v>10.130000000000001</v>
      </c>
      <c r="BL239" s="108">
        <f t="shared" si="948"/>
        <v>705.4</v>
      </c>
      <c r="BM239" s="108">
        <f t="shared" si="951"/>
        <v>28.25</v>
      </c>
      <c r="BN239" s="108">
        <f t="shared" si="952"/>
        <v>733.65</v>
      </c>
      <c r="BO239" s="108">
        <v>697.63</v>
      </c>
      <c r="BP239" s="127">
        <v>27.89</v>
      </c>
      <c r="BQ239" s="108">
        <f t="shared" si="953"/>
        <v>7.7699999999999818</v>
      </c>
      <c r="BR239" s="108">
        <f t="shared" si="954"/>
        <v>0.35999999999999943</v>
      </c>
      <c r="BS239" s="108">
        <f t="shared" si="955"/>
        <v>63.42</v>
      </c>
      <c r="BT239" s="108">
        <f t="shared" si="956"/>
        <v>2.54</v>
      </c>
      <c r="BU239" s="143">
        <v>78.599999999999994</v>
      </c>
      <c r="BV239" s="108">
        <v>0</v>
      </c>
      <c r="CA239" s="108">
        <v>784</v>
      </c>
      <c r="CB239" s="108">
        <v>28.25</v>
      </c>
      <c r="CC239">
        <v>862.4</v>
      </c>
      <c r="CD239">
        <v>32.49</v>
      </c>
      <c r="CE239" s="189">
        <v>72</v>
      </c>
      <c r="CF239" s="189">
        <v>3</v>
      </c>
      <c r="CG239" s="189">
        <f t="shared" si="957"/>
        <v>196</v>
      </c>
      <c r="CH239" s="189">
        <f t="shared" si="958"/>
        <v>7.06</v>
      </c>
      <c r="CI239" s="150"/>
      <c r="CJ239" s="150"/>
      <c r="CK239" s="150">
        <v>209</v>
      </c>
      <c r="CL239" s="150">
        <v>0</v>
      </c>
      <c r="CM239" s="150"/>
      <c r="CN239" s="150"/>
      <c r="CO239" s="150">
        <v>760</v>
      </c>
      <c r="CP239" s="150">
        <v>40</v>
      </c>
      <c r="CQ239" s="150">
        <f t="shared" si="959"/>
        <v>836</v>
      </c>
      <c r="CR239" s="150">
        <f>ROUND(CL239/3*12,2)+40</f>
        <v>40</v>
      </c>
      <c r="CS239" s="150">
        <f t="shared" si="961"/>
        <v>760</v>
      </c>
      <c r="CT239" s="150">
        <f t="shared" si="962"/>
        <v>40</v>
      </c>
      <c r="CU239" s="150">
        <v>840</v>
      </c>
      <c r="CV239" s="150">
        <v>60</v>
      </c>
      <c r="CW239" s="150">
        <f t="shared" si="963"/>
        <v>210</v>
      </c>
      <c r="CX239" s="150">
        <f t="shared" si="963"/>
        <v>15</v>
      </c>
      <c r="CY239" s="150"/>
      <c r="CZ239" s="150">
        <v>30</v>
      </c>
      <c r="DA239" s="150">
        <f t="shared" si="964"/>
        <v>491</v>
      </c>
      <c r="DB239" s="150">
        <f t="shared" si="965"/>
        <v>48</v>
      </c>
      <c r="DC239" s="150">
        <v>482.22</v>
      </c>
      <c r="DD239" s="150">
        <v>25.74</v>
      </c>
      <c r="DE239" s="150">
        <f t="shared" si="966"/>
        <v>8.7799999999999727</v>
      </c>
      <c r="DF239" s="150">
        <f t="shared" si="967"/>
        <v>22.26</v>
      </c>
      <c r="DG239" s="150">
        <f>ROUND(0.25*(MIN(CU239,DO239)),2)</f>
        <v>210</v>
      </c>
      <c r="DH239" s="150">
        <f>ROUND(0.25*(MIN(CV239,DP239)),2)</f>
        <v>15</v>
      </c>
      <c r="DI239" s="150">
        <f>+DG239-DE239</f>
        <v>201.22000000000003</v>
      </c>
      <c r="DJ239" s="150">
        <f>+DH239-DF239+7.26</f>
        <v>0</v>
      </c>
      <c r="DK239" s="104">
        <f t="shared" si="839"/>
        <v>257.77999999999997</v>
      </c>
      <c r="DL239" s="104">
        <f t="shared" si="840"/>
        <v>12</v>
      </c>
      <c r="DM239" s="104">
        <f t="shared" si="949"/>
        <v>147.77999999999997</v>
      </c>
      <c r="DN239" s="104">
        <f t="shared" si="950"/>
        <v>12</v>
      </c>
      <c r="DO239" s="104">
        <v>950</v>
      </c>
      <c r="DP239" s="104">
        <v>60</v>
      </c>
      <c r="DQ239" s="104">
        <v>0</v>
      </c>
      <c r="DR239" s="104">
        <v>25</v>
      </c>
    </row>
    <row r="240" spans="1:125" ht="24.75" customHeight="1">
      <c r="A240" s="45"/>
      <c r="B240" s="45"/>
      <c r="C240" s="46"/>
      <c r="D240" s="182" t="s">
        <v>394</v>
      </c>
      <c r="E240" s="48" t="s">
        <v>395</v>
      </c>
      <c r="F240" s="49">
        <v>22527.949999999997</v>
      </c>
      <c r="G240" s="49">
        <v>19191.589999999997</v>
      </c>
      <c r="H240" s="49">
        <v>22527.949999999997</v>
      </c>
      <c r="I240" s="49">
        <v>19368.47</v>
      </c>
      <c r="J240" s="92">
        <f t="shared" ref="J240:AA240" si="1136">+J239+J238+J235+J232+J231+J230+J229+J228</f>
        <v>26859.590000000004</v>
      </c>
      <c r="K240" s="92">
        <f t="shared" si="1136"/>
        <v>0</v>
      </c>
      <c r="L240" s="92">
        <f t="shared" si="1136"/>
        <v>1.69</v>
      </c>
      <c r="M240" s="92">
        <f t="shared" si="1136"/>
        <v>26861.279999999999</v>
      </c>
      <c r="N240" s="92">
        <f t="shared" si="1136"/>
        <v>0</v>
      </c>
      <c r="O240" s="92">
        <f t="shared" si="1136"/>
        <v>0</v>
      </c>
      <c r="P240" s="92">
        <f t="shared" si="1136"/>
        <v>0</v>
      </c>
      <c r="Q240" s="92">
        <f t="shared" si="1136"/>
        <v>0</v>
      </c>
      <c r="R240" s="92">
        <f t="shared" si="1136"/>
        <v>26861.279999999999</v>
      </c>
      <c r="S240" s="92">
        <f t="shared" si="1136"/>
        <v>22565</v>
      </c>
      <c r="T240" s="92">
        <f t="shared" si="1136"/>
        <v>0</v>
      </c>
      <c r="U240" s="92">
        <f t="shared" si="1136"/>
        <v>0</v>
      </c>
      <c r="V240" s="92">
        <f t="shared" si="1136"/>
        <v>23841.339999999997</v>
      </c>
      <c r="W240" s="92">
        <f t="shared" si="1136"/>
        <v>20001.810000000001</v>
      </c>
      <c r="X240" s="92">
        <f t="shared" si="1136"/>
        <v>3019.94</v>
      </c>
      <c r="Y240" s="92">
        <f t="shared" si="1136"/>
        <v>2563.1899999999996</v>
      </c>
      <c r="Z240" s="92">
        <f t="shared" si="1136"/>
        <v>23828.42</v>
      </c>
      <c r="AA240" s="92">
        <f t="shared" si="1136"/>
        <v>0</v>
      </c>
      <c r="AB240" s="49">
        <f t="shared" si="919"/>
        <v>23828.42</v>
      </c>
      <c r="AC240" s="109">
        <f t="shared" si="920"/>
        <v>0</v>
      </c>
      <c r="AD240" s="49">
        <f t="shared" ref="AD240:CP240" si="1137">+AD239+AD238+AD235+AD232+AD231+AD230+AD229+AD228</f>
        <v>23828.42</v>
      </c>
      <c r="AE240" s="49">
        <f t="shared" si="1137"/>
        <v>19926.13</v>
      </c>
      <c r="AF240" s="49">
        <f t="shared" si="1137"/>
        <v>20358.14</v>
      </c>
      <c r="AG240" s="130">
        <f t="shared" si="1137"/>
        <v>5957</v>
      </c>
      <c r="AH240" s="130">
        <f t="shared" si="1137"/>
        <v>4974</v>
      </c>
      <c r="AI240" s="130">
        <f t="shared" si="1137"/>
        <v>1987</v>
      </c>
      <c r="AJ240" s="130">
        <f t="shared" si="1137"/>
        <v>1658</v>
      </c>
      <c r="AK240" s="130">
        <f t="shared" si="1137"/>
        <v>0</v>
      </c>
      <c r="AL240" s="130">
        <f t="shared" si="1137"/>
        <v>175</v>
      </c>
      <c r="AM240" s="130">
        <f t="shared" si="1137"/>
        <v>5857.13</v>
      </c>
      <c r="AN240" s="130">
        <f t="shared" si="1137"/>
        <v>4845.1399999999994</v>
      </c>
      <c r="AO240" s="130">
        <f t="shared" si="1137"/>
        <v>0</v>
      </c>
      <c r="AP240" s="130">
        <f t="shared" si="1137"/>
        <v>28.25</v>
      </c>
      <c r="AQ240" s="130">
        <f t="shared" si="1137"/>
        <v>11814.130000000001</v>
      </c>
      <c r="AR240" s="130">
        <f t="shared" si="1137"/>
        <v>10022.39</v>
      </c>
      <c r="AS240" s="130">
        <f t="shared" si="1137"/>
        <v>0</v>
      </c>
      <c r="AT240" s="130">
        <f t="shared" si="1137"/>
        <v>0</v>
      </c>
      <c r="AU240" s="130">
        <f t="shared" si="1137"/>
        <v>5957.13</v>
      </c>
      <c r="AV240" s="130">
        <f t="shared" si="1137"/>
        <v>5556.01</v>
      </c>
      <c r="AW240" s="130">
        <f t="shared" si="1137"/>
        <v>270</v>
      </c>
      <c r="AX240" s="130">
        <f t="shared" si="1137"/>
        <v>607.24</v>
      </c>
      <c r="AY240" s="130">
        <f t="shared" si="1137"/>
        <v>20028.260000000002</v>
      </c>
      <c r="AZ240" s="130">
        <f t="shared" si="1137"/>
        <v>17843.64</v>
      </c>
      <c r="BA240" s="130">
        <f t="shared" si="1137"/>
        <v>37871.9</v>
      </c>
      <c r="BB240" s="130">
        <f t="shared" si="1137"/>
        <v>19678.810000000001</v>
      </c>
      <c r="BC240" s="130">
        <f t="shared" si="1137"/>
        <v>17968.41</v>
      </c>
      <c r="BD240" s="130">
        <f t="shared" si="1137"/>
        <v>349.45000000000039</v>
      </c>
      <c r="BE240" s="130">
        <f t="shared" si="1137"/>
        <v>-124.77000000000027</v>
      </c>
      <c r="BF240" s="130">
        <f t="shared" si="1137"/>
        <v>3935.76</v>
      </c>
      <c r="BG240" s="130">
        <f t="shared" si="1137"/>
        <v>3593.67</v>
      </c>
      <c r="BH240" s="130">
        <f t="shared" si="1137"/>
        <v>1842.19</v>
      </c>
      <c r="BI240" s="130">
        <f t="shared" si="1137"/>
        <v>1733.67</v>
      </c>
      <c r="BJ240" s="130">
        <f t="shared" si="1137"/>
        <v>26.310000000000002</v>
      </c>
      <c r="BK240" s="130">
        <f t="shared" si="1137"/>
        <v>200</v>
      </c>
      <c r="BL240" s="130">
        <f t="shared" si="1137"/>
        <v>21896.76</v>
      </c>
      <c r="BM240" s="130">
        <f t="shared" si="1137"/>
        <v>19777.309999999998</v>
      </c>
      <c r="BN240" s="130">
        <f t="shared" si="1137"/>
        <v>41674.07</v>
      </c>
      <c r="BO240" s="130">
        <f t="shared" si="1137"/>
        <v>21759</v>
      </c>
      <c r="BP240" s="130">
        <f t="shared" si="1137"/>
        <v>19808.79</v>
      </c>
      <c r="BQ240" s="49">
        <f t="shared" si="1137"/>
        <v>137.7600000000009</v>
      </c>
      <c r="BR240" s="49">
        <f t="shared" si="1137"/>
        <v>-31.480000000000317</v>
      </c>
      <c r="BS240" s="49">
        <f t="shared" si="1137"/>
        <v>1978.09</v>
      </c>
      <c r="BT240" s="49">
        <f t="shared" si="1137"/>
        <v>1800.81</v>
      </c>
      <c r="BU240" s="49">
        <f t="shared" si="1137"/>
        <v>1982.8399999999992</v>
      </c>
      <c r="BV240" s="49">
        <f t="shared" si="1137"/>
        <v>1934.1399999999999</v>
      </c>
      <c r="BW240" s="49">
        <f t="shared" si="1137"/>
        <v>212.65</v>
      </c>
      <c r="BX240" s="49">
        <f t="shared" si="1137"/>
        <v>357.75</v>
      </c>
      <c r="BY240" s="49">
        <f t="shared" si="1137"/>
        <v>0</v>
      </c>
      <c r="BZ240" s="49">
        <f t="shared" si="1137"/>
        <v>0</v>
      </c>
      <c r="CA240" s="49">
        <f t="shared" si="1137"/>
        <v>24092.25</v>
      </c>
      <c r="CB240" s="49">
        <f t="shared" si="1137"/>
        <v>22069.199999999997</v>
      </c>
      <c r="CC240" s="49">
        <f t="shared" si="1137"/>
        <v>26501.47</v>
      </c>
      <c r="CD240" s="130">
        <f t="shared" si="1137"/>
        <v>25379.589999999997</v>
      </c>
      <c r="CE240" s="191">
        <f t="shared" si="1137"/>
        <v>2209</v>
      </c>
      <c r="CF240" s="191">
        <f t="shared" si="1137"/>
        <v>2114</v>
      </c>
      <c r="CG240" s="191">
        <f t="shared" si="1137"/>
        <v>6023.0700000000006</v>
      </c>
      <c r="CH240" s="191">
        <f t="shared" si="1137"/>
        <v>5517.3</v>
      </c>
      <c r="CI240" s="191">
        <f t="shared" si="1137"/>
        <v>0</v>
      </c>
      <c r="CJ240" s="191">
        <f t="shared" si="1137"/>
        <v>0</v>
      </c>
      <c r="CK240" s="191">
        <f t="shared" si="1137"/>
        <v>6526</v>
      </c>
      <c r="CL240" s="191">
        <f t="shared" si="1137"/>
        <v>6127.98</v>
      </c>
      <c r="CM240" s="191">
        <f t="shared" si="1137"/>
        <v>0</v>
      </c>
      <c r="CN240" s="191">
        <f t="shared" si="1137"/>
        <v>335</v>
      </c>
      <c r="CO240" s="191">
        <f t="shared" si="1137"/>
        <v>26368.42</v>
      </c>
      <c r="CP240" s="191">
        <f t="shared" si="1137"/>
        <v>22785</v>
      </c>
      <c r="CQ240" s="191">
        <f t="shared" ref="CQ240:DP240" si="1138">+CQ239+CQ238+CQ235+CQ232+CQ231+CQ230+CQ229+CQ228</f>
        <v>26104</v>
      </c>
      <c r="CR240" s="191">
        <f t="shared" si="1138"/>
        <v>24551.919999999998</v>
      </c>
      <c r="CS240" s="191">
        <f t="shared" si="1138"/>
        <v>25640</v>
      </c>
      <c r="CT240" s="191">
        <f t="shared" si="1138"/>
        <v>22480</v>
      </c>
      <c r="CU240" s="191">
        <f t="shared" si="1138"/>
        <v>26775</v>
      </c>
      <c r="CV240" s="191">
        <f t="shared" si="1138"/>
        <v>24155</v>
      </c>
      <c r="CW240" s="191">
        <f t="shared" si="1138"/>
        <v>6693.75</v>
      </c>
      <c r="CX240" s="191">
        <f t="shared" si="1138"/>
        <v>5998.75</v>
      </c>
      <c r="CY240" s="191">
        <f t="shared" si="1138"/>
        <v>0</v>
      </c>
      <c r="CZ240" s="191">
        <f t="shared" si="1138"/>
        <v>30</v>
      </c>
      <c r="DA240" s="191">
        <f t="shared" si="1138"/>
        <v>15428.75</v>
      </c>
      <c r="DB240" s="191">
        <f t="shared" si="1138"/>
        <v>14605.73</v>
      </c>
      <c r="DC240" s="191">
        <f t="shared" si="1138"/>
        <v>14739.46</v>
      </c>
      <c r="DD240" s="191">
        <f t="shared" si="1138"/>
        <v>14126.739999999998</v>
      </c>
      <c r="DE240" s="191">
        <f t="shared" si="1138"/>
        <v>689.28999999999962</v>
      </c>
      <c r="DF240" s="191">
        <f t="shared" si="1138"/>
        <v>478.98999999999995</v>
      </c>
      <c r="DG240" s="191">
        <f t="shared" si="1138"/>
        <v>6528.75</v>
      </c>
      <c r="DH240" s="191">
        <f t="shared" si="1138"/>
        <v>6030</v>
      </c>
      <c r="DI240" s="191">
        <f t="shared" si="1138"/>
        <v>5839.4600000000009</v>
      </c>
      <c r="DJ240" s="191">
        <f t="shared" si="1138"/>
        <v>5558.2699999999995</v>
      </c>
      <c r="DK240" s="104">
        <f t="shared" si="839"/>
        <v>5261.7899999999991</v>
      </c>
      <c r="DL240" s="104">
        <f t="shared" si="840"/>
        <v>4761.0000000000009</v>
      </c>
      <c r="DM240" s="104">
        <f t="shared" si="949"/>
        <v>5506.7899999999991</v>
      </c>
      <c r="DN240" s="104">
        <f t="shared" si="950"/>
        <v>3991.0000000000009</v>
      </c>
      <c r="DO240" s="49">
        <f t="shared" si="1138"/>
        <v>26530</v>
      </c>
      <c r="DP240" s="49">
        <f t="shared" si="1138"/>
        <v>24925</v>
      </c>
      <c r="DQ240" s="49">
        <f t="shared" ref="DQ240:DS240" si="1139">+DQ239+DQ238+DQ235+DQ232+DQ231+DQ230+DQ229+DQ228</f>
        <v>28119</v>
      </c>
      <c r="DR240" s="49">
        <f t="shared" si="1139"/>
        <v>26880</v>
      </c>
      <c r="DS240" s="49">
        <f t="shared" si="1139"/>
        <v>0</v>
      </c>
    </row>
    <row r="241" spans="1:122" ht="18.75">
      <c r="A241" s="13">
        <v>1</v>
      </c>
      <c r="B241" s="13"/>
      <c r="C241" s="14"/>
      <c r="D241" s="15" t="s">
        <v>396</v>
      </c>
      <c r="E241" s="16"/>
      <c r="F241" s="81">
        <v>2915</v>
      </c>
      <c r="G241" s="81">
        <v>2183.8200000000002</v>
      </c>
      <c r="H241" s="81">
        <v>2915</v>
      </c>
      <c r="I241" s="17">
        <v>2183.8200000000002</v>
      </c>
      <c r="J241" s="86">
        <v>3300</v>
      </c>
      <c r="K241" s="87">
        <v>0</v>
      </c>
      <c r="L241" s="87">
        <v>0</v>
      </c>
      <c r="M241" s="87">
        <f t="shared" ref="M241:M259" si="1140">J241+K241+L241</f>
        <v>3300</v>
      </c>
      <c r="N241" s="87">
        <v>0</v>
      </c>
      <c r="O241" s="87"/>
      <c r="P241" s="87"/>
      <c r="Q241" s="87">
        <f t="shared" ref="Q241:Q247" si="1141">N241+O241+P241</f>
        <v>0</v>
      </c>
      <c r="R241" s="87">
        <f t="shared" ref="R241:R259" si="1142">+Q241+M241</f>
        <v>3300</v>
      </c>
      <c r="S241" s="87">
        <v>2500</v>
      </c>
      <c r="V241" s="17">
        <f t="shared" ref="V241" si="1143">ROUND(H241*1.0583,2)</f>
        <v>3084.94</v>
      </c>
      <c r="W241" s="17">
        <f t="shared" ref="W241" si="1144">ROUND(I241*1.0327,2)</f>
        <v>2255.23</v>
      </c>
      <c r="X241" s="108">
        <f t="shared" si="917"/>
        <v>215.05999999999995</v>
      </c>
      <c r="Y241" s="108">
        <f t="shared" si="918"/>
        <v>244.76999999999998</v>
      </c>
      <c r="Z241" s="108">
        <v>3084.94</v>
      </c>
      <c r="AA241" s="108"/>
      <c r="AB241" s="108">
        <f t="shared" si="919"/>
        <v>3084.94</v>
      </c>
      <c r="AC241" s="109">
        <f t="shared" si="920"/>
        <v>0</v>
      </c>
      <c r="AD241" s="108">
        <f t="shared" ref="AD241" si="1145">IF(X241&gt;0,V241,R241)</f>
        <v>3084.94</v>
      </c>
      <c r="AE241" s="108">
        <f t="shared" ref="AE241" si="1146">IF(Y241&gt;0,W241,S241)</f>
        <v>2255.23</v>
      </c>
      <c r="AF241" s="108">
        <f t="shared" si="921"/>
        <v>2255.5</v>
      </c>
      <c r="AG241" s="108">
        <f t="shared" si="922"/>
        <v>771</v>
      </c>
      <c r="AH241" s="108">
        <f t="shared" si="923"/>
        <v>564</v>
      </c>
      <c r="AI241" s="127">
        <f t="shared" si="924"/>
        <v>257</v>
      </c>
      <c r="AJ241" s="108">
        <f t="shared" si="925"/>
        <v>188</v>
      </c>
      <c r="AM241" s="108">
        <f t="shared" si="926"/>
        <v>771.24</v>
      </c>
      <c r="AN241" s="108">
        <f t="shared" si="927"/>
        <v>549.15</v>
      </c>
      <c r="AQ241" s="108">
        <f t="shared" si="928"/>
        <v>1542.24</v>
      </c>
      <c r="AR241" s="108">
        <f t="shared" si="929"/>
        <v>1113.1500000000001</v>
      </c>
      <c r="AU241" s="108">
        <f t="shared" si="1054"/>
        <v>771.24</v>
      </c>
      <c r="AV241" s="108">
        <f>ROUND(AE241*25%,2)</f>
        <v>563.80999999999995</v>
      </c>
      <c r="AW241" s="116"/>
      <c r="AX241" s="143">
        <v>506.5</v>
      </c>
      <c r="AY241" s="108">
        <f t="shared" si="903"/>
        <v>2570.48</v>
      </c>
      <c r="AZ241" s="108">
        <f t="shared" si="904"/>
        <v>2371.46</v>
      </c>
      <c r="BA241" s="108">
        <f t="shared" si="905"/>
        <v>4941.9400000000005</v>
      </c>
      <c r="BB241" s="139">
        <v>2600.98</v>
      </c>
      <c r="BC241" s="139">
        <v>2296.44</v>
      </c>
      <c r="BD241" s="139">
        <f t="shared" si="906"/>
        <v>-30.5</v>
      </c>
      <c r="BE241" s="139">
        <f t="shared" si="907"/>
        <v>75.019999999999982</v>
      </c>
      <c r="BF241" s="139">
        <f t="shared" si="908"/>
        <v>520.20000000000005</v>
      </c>
      <c r="BG241" s="139">
        <f t="shared" si="909"/>
        <v>459.29</v>
      </c>
      <c r="BH241" s="108">
        <v>264.35000000000002</v>
      </c>
      <c r="BI241" s="108">
        <v>150</v>
      </c>
      <c r="BK241" s="108">
        <v>150</v>
      </c>
      <c r="BL241" s="108">
        <f t="shared" si="948"/>
        <v>2834.83</v>
      </c>
      <c r="BM241" s="108">
        <f t="shared" si="951"/>
        <v>2671.46</v>
      </c>
      <c r="BN241" s="108">
        <f t="shared" si="952"/>
        <v>5506.29</v>
      </c>
      <c r="BO241" s="108">
        <v>2833.87</v>
      </c>
      <c r="BP241" s="127">
        <v>2596.39</v>
      </c>
      <c r="BQ241" s="108">
        <f t="shared" si="953"/>
        <v>0.96000000000003638</v>
      </c>
      <c r="BR241" s="108">
        <f t="shared" si="954"/>
        <v>75.070000000000164</v>
      </c>
      <c r="BS241" s="108">
        <f t="shared" si="955"/>
        <v>257.62</v>
      </c>
      <c r="BT241" s="108">
        <f t="shared" si="956"/>
        <v>236.04</v>
      </c>
      <c r="BU241" s="108">
        <f t="shared" si="987"/>
        <v>256.65999999999997</v>
      </c>
      <c r="BV241" s="108">
        <v>200</v>
      </c>
      <c r="BW241" s="109">
        <v>119.51</v>
      </c>
      <c r="BX241" s="108">
        <f>60+9.66</f>
        <v>69.66</v>
      </c>
      <c r="CA241" s="108">
        <v>3211</v>
      </c>
      <c r="CB241" s="108">
        <v>2941.12</v>
      </c>
      <c r="CC241">
        <v>3532.1</v>
      </c>
      <c r="CD241">
        <v>3382.29</v>
      </c>
      <c r="CE241" s="189">
        <v>294</v>
      </c>
      <c r="CF241" s="189">
        <v>282</v>
      </c>
      <c r="CG241" s="189">
        <f t="shared" si="957"/>
        <v>802.75</v>
      </c>
      <c r="CH241" s="189">
        <f t="shared" si="958"/>
        <v>735.28</v>
      </c>
      <c r="CI241" s="150"/>
      <c r="CJ241" s="150"/>
      <c r="CK241" s="150">
        <v>735</v>
      </c>
      <c r="CL241" s="150">
        <f>606.5-56.5</f>
        <v>550</v>
      </c>
      <c r="CM241" s="150"/>
      <c r="CN241" s="150"/>
      <c r="CO241" s="150">
        <v>3390</v>
      </c>
      <c r="CP241" s="150">
        <v>2800</v>
      </c>
      <c r="CQ241" s="150">
        <f t="shared" si="959"/>
        <v>2940</v>
      </c>
      <c r="CR241" s="150">
        <f t="shared" si="960"/>
        <v>2200</v>
      </c>
      <c r="CS241" s="150">
        <f t="shared" si="961"/>
        <v>2940</v>
      </c>
      <c r="CT241" s="150">
        <f t="shared" si="962"/>
        <v>2200</v>
      </c>
      <c r="CU241" s="150">
        <v>3125</v>
      </c>
      <c r="CV241" s="150">
        <v>2800</v>
      </c>
      <c r="CW241" s="150">
        <f t="shared" si="963"/>
        <v>781.25</v>
      </c>
      <c r="CX241" s="150">
        <f t="shared" si="963"/>
        <v>700</v>
      </c>
      <c r="CY241" s="150">
        <v>25</v>
      </c>
      <c r="CZ241" s="150">
        <v>40</v>
      </c>
      <c r="DA241" s="150">
        <f t="shared" si="964"/>
        <v>1835.25</v>
      </c>
      <c r="DB241" s="150">
        <f t="shared" si="965"/>
        <v>1572</v>
      </c>
      <c r="DC241" s="150">
        <v>1823.7</v>
      </c>
      <c r="DD241" s="150">
        <v>1560.96</v>
      </c>
      <c r="DE241" s="150">
        <f t="shared" si="966"/>
        <v>11.549999999999955</v>
      </c>
      <c r="DF241" s="150">
        <f t="shared" si="967"/>
        <v>11.039999999999964</v>
      </c>
      <c r="DG241" s="150">
        <f t="shared" ref="DG241:DH247" si="1147">ROUND(0.25*(MIN(CU241,DO241)),2)</f>
        <v>781.25</v>
      </c>
      <c r="DH241" s="150">
        <f t="shared" si="1147"/>
        <v>700</v>
      </c>
      <c r="DI241" s="150">
        <f t="shared" ref="DI241:DJ247" si="1148">+DG241-DE241</f>
        <v>769.7</v>
      </c>
      <c r="DJ241" s="150">
        <f t="shared" si="1148"/>
        <v>688.96</v>
      </c>
      <c r="DK241" s="104">
        <f t="shared" si="839"/>
        <v>818.16999999999985</v>
      </c>
      <c r="DL241" s="104">
        <f t="shared" si="840"/>
        <v>739.04</v>
      </c>
      <c r="DM241" s="104">
        <f t="shared" si="949"/>
        <v>520.04999999999995</v>
      </c>
      <c r="DN241" s="104">
        <f t="shared" si="950"/>
        <v>539.04</v>
      </c>
      <c r="DO241" s="104">
        <v>3423.12</v>
      </c>
      <c r="DP241" s="104">
        <v>3000</v>
      </c>
      <c r="DQ241" s="104">
        <v>3500</v>
      </c>
      <c r="DR241" s="104">
        <v>3600</v>
      </c>
    </row>
    <row r="242" spans="1:122" ht="18.75">
      <c r="A242" s="13">
        <v>2</v>
      </c>
      <c r="B242" s="13"/>
      <c r="C242" s="14"/>
      <c r="D242" s="15" t="s">
        <v>397</v>
      </c>
      <c r="E242" s="16"/>
      <c r="F242" s="81">
        <v>1078</v>
      </c>
      <c r="G242" s="81">
        <v>0</v>
      </c>
      <c r="H242" s="81">
        <v>1078</v>
      </c>
      <c r="I242" s="17">
        <v>0</v>
      </c>
      <c r="J242" s="86">
        <v>1250</v>
      </c>
      <c r="K242" s="87">
        <v>0</v>
      </c>
      <c r="L242" s="87">
        <v>0</v>
      </c>
      <c r="M242" s="87">
        <f t="shared" si="1140"/>
        <v>1250</v>
      </c>
      <c r="N242" s="87">
        <v>75</v>
      </c>
      <c r="O242" s="87"/>
      <c r="P242" s="87"/>
      <c r="Q242" s="87">
        <f t="shared" si="1141"/>
        <v>75</v>
      </c>
      <c r="R242" s="87">
        <f t="shared" si="1142"/>
        <v>1325</v>
      </c>
      <c r="S242" s="87">
        <v>0</v>
      </c>
      <c r="V242" s="17">
        <f t="shared" ref="V242:V247" si="1149">ROUND(H242*1.0583,2)</f>
        <v>1140.8499999999999</v>
      </c>
      <c r="W242" s="17">
        <f t="shared" ref="W242:W247" si="1150">ROUND(I242*1.0327,2)</f>
        <v>0</v>
      </c>
      <c r="X242" s="108">
        <f t="shared" si="917"/>
        <v>184.15000000000009</v>
      </c>
      <c r="Y242" s="108">
        <f t="shared" si="918"/>
        <v>0</v>
      </c>
      <c r="Z242" s="108">
        <v>1085.8499999999999</v>
      </c>
      <c r="AA242" s="108">
        <v>55</v>
      </c>
      <c r="AB242" s="108">
        <f t="shared" si="919"/>
        <v>1140.8499999999999</v>
      </c>
      <c r="AC242" s="109">
        <f t="shared" si="920"/>
        <v>0</v>
      </c>
      <c r="AD242" s="108">
        <f t="shared" ref="AD242:AD247" si="1151">IF(X242&gt;0,V242,R242)</f>
        <v>1140.8499999999999</v>
      </c>
      <c r="AE242" s="108">
        <f t="shared" ref="AE242:AE247" si="1152">IF(Y242&gt;0,W242,S242)</f>
        <v>0</v>
      </c>
      <c r="AF242" s="108">
        <f t="shared" si="921"/>
        <v>0</v>
      </c>
      <c r="AG242" s="108">
        <f t="shared" si="922"/>
        <v>285</v>
      </c>
      <c r="AH242" s="108">
        <f t="shared" si="923"/>
        <v>0</v>
      </c>
      <c r="AI242" s="127">
        <f t="shared" si="924"/>
        <v>95</v>
      </c>
      <c r="AJ242" s="108">
        <f t="shared" si="925"/>
        <v>0</v>
      </c>
      <c r="AM242" s="108">
        <f t="shared" si="926"/>
        <v>285.20999999999998</v>
      </c>
      <c r="AN242" s="108">
        <f t="shared" si="927"/>
        <v>0</v>
      </c>
      <c r="AQ242" s="108">
        <f t="shared" si="928"/>
        <v>570.21</v>
      </c>
      <c r="AR242" s="108">
        <f t="shared" si="929"/>
        <v>0</v>
      </c>
      <c r="AU242" s="108">
        <f t="shared" si="1054"/>
        <v>285.20999999999998</v>
      </c>
      <c r="AV242" s="108">
        <f t="shared" ref="AV242:AV261" si="1153">ROUND(AE242*25%,2)</f>
        <v>0</v>
      </c>
      <c r="AY242" s="108">
        <f t="shared" si="903"/>
        <v>950.42000000000007</v>
      </c>
      <c r="AZ242" s="108">
        <f t="shared" si="904"/>
        <v>0</v>
      </c>
      <c r="BA242" s="108">
        <f t="shared" si="905"/>
        <v>950.42000000000007</v>
      </c>
      <c r="BB242" s="139">
        <v>950.42</v>
      </c>
      <c r="BD242" s="139">
        <f t="shared" si="906"/>
        <v>0</v>
      </c>
      <c r="BE242" s="139">
        <f t="shared" si="907"/>
        <v>0</v>
      </c>
      <c r="BF242" s="139">
        <f t="shared" si="908"/>
        <v>190.08</v>
      </c>
      <c r="BG242" s="139">
        <f t="shared" si="909"/>
        <v>0</v>
      </c>
      <c r="BH242" s="108">
        <v>95.04</v>
      </c>
      <c r="BI242" s="108">
        <v>0</v>
      </c>
      <c r="BL242" s="108">
        <f t="shared" si="948"/>
        <v>1045.46</v>
      </c>
      <c r="BM242" s="108">
        <f t="shared" si="951"/>
        <v>0</v>
      </c>
      <c r="BN242" s="108">
        <f t="shared" si="952"/>
        <v>1045.46</v>
      </c>
      <c r="BO242" s="108">
        <v>950.42</v>
      </c>
      <c r="BP242" s="127"/>
      <c r="BQ242" s="108">
        <f t="shared" si="953"/>
        <v>95.040000000000077</v>
      </c>
      <c r="BR242" s="108">
        <f t="shared" si="954"/>
        <v>0</v>
      </c>
      <c r="BS242" s="108">
        <f t="shared" si="955"/>
        <v>86.4</v>
      </c>
      <c r="BT242" s="108">
        <f t="shared" si="956"/>
        <v>0</v>
      </c>
      <c r="BU242" s="108">
        <f t="shared" ref="BU242:BU243" si="1154">ROUND(BS242-BQ242,2)</f>
        <v>-8.64</v>
      </c>
      <c r="BV242" s="108">
        <v>0</v>
      </c>
      <c r="BW242" s="109">
        <v>104.03</v>
      </c>
      <c r="CA242" s="108">
        <v>1140.8499999999999</v>
      </c>
      <c r="CB242" s="108">
        <v>0</v>
      </c>
      <c r="CC242">
        <v>1254.94</v>
      </c>
      <c r="CD242">
        <v>0</v>
      </c>
      <c r="CE242" s="189">
        <v>105</v>
      </c>
      <c r="CF242" s="189">
        <v>0</v>
      </c>
      <c r="CG242" s="189">
        <f t="shared" si="957"/>
        <v>285.20999999999998</v>
      </c>
      <c r="CH242" s="189">
        <f t="shared" si="958"/>
        <v>0</v>
      </c>
      <c r="CI242" s="150"/>
      <c r="CJ242" s="150"/>
      <c r="CK242" s="150">
        <f>345-25</f>
        <v>320</v>
      </c>
      <c r="CL242" s="150">
        <v>0</v>
      </c>
      <c r="CM242" s="150"/>
      <c r="CN242" s="150"/>
      <c r="CO242" s="150">
        <v>1254.94</v>
      </c>
      <c r="CP242" s="150"/>
      <c r="CQ242" s="150">
        <f t="shared" si="959"/>
        <v>1280</v>
      </c>
      <c r="CR242" s="150">
        <f t="shared" si="960"/>
        <v>0</v>
      </c>
      <c r="CS242" s="150">
        <f t="shared" si="961"/>
        <v>1254.94</v>
      </c>
      <c r="CT242" s="150">
        <f t="shared" si="962"/>
        <v>0</v>
      </c>
      <c r="CU242" s="150">
        <f t="shared" ref="CU242:CU243" si="1155">IF(CQ242&lt;CS242,CQ242,CS242)</f>
        <v>1254.94</v>
      </c>
      <c r="CV242" s="150">
        <f t="shared" ref="CV242:CV243" si="1156">IF(CR242&lt;CT242,CR242,CT242)</f>
        <v>0</v>
      </c>
      <c r="CW242" s="150">
        <f t="shared" si="963"/>
        <v>313.74</v>
      </c>
      <c r="CX242" s="150">
        <f t="shared" si="963"/>
        <v>0</v>
      </c>
      <c r="CY242" s="150"/>
      <c r="CZ242" s="150"/>
      <c r="DA242" s="150">
        <f t="shared" si="964"/>
        <v>738.74</v>
      </c>
      <c r="DB242" s="150">
        <f t="shared" si="965"/>
        <v>0</v>
      </c>
      <c r="DC242" s="150">
        <v>738.74</v>
      </c>
      <c r="DD242" s="150">
        <v>0</v>
      </c>
      <c r="DE242" s="150">
        <f t="shared" si="966"/>
        <v>0</v>
      </c>
      <c r="DF242" s="150">
        <f t="shared" si="967"/>
        <v>0</v>
      </c>
      <c r="DG242" s="150">
        <f t="shared" si="1147"/>
        <v>313.74</v>
      </c>
      <c r="DH242" s="150">
        <f t="shared" si="1147"/>
        <v>0</v>
      </c>
      <c r="DI242" s="150">
        <f t="shared" si="1148"/>
        <v>313.74</v>
      </c>
      <c r="DJ242" s="150">
        <f t="shared" si="1148"/>
        <v>0</v>
      </c>
      <c r="DK242" s="104">
        <f t="shared" ref="DK242:DK310" si="1157">+DO242-DA242-DI242</f>
        <v>202.46000000000004</v>
      </c>
      <c r="DL242" s="104">
        <f t="shared" ref="DL242:DL310" si="1158">+DP242-DB242-DJ242</f>
        <v>0</v>
      </c>
      <c r="DM242" s="104">
        <f t="shared" si="949"/>
        <v>202.46000000000004</v>
      </c>
      <c r="DN242" s="104">
        <f t="shared" si="950"/>
        <v>0</v>
      </c>
      <c r="DO242" s="104">
        <v>1254.94</v>
      </c>
      <c r="DP242" s="104">
        <v>0</v>
      </c>
      <c r="DQ242" s="104">
        <v>1380</v>
      </c>
      <c r="DR242" s="104">
        <v>0</v>
      </c>
    </row>
    <row r="243" spans="1:122" ht="18.75">
      <c r="A243" s="13">
        <v>3</v>
      </c>
      <c r="B243" s="13"/>
      <c r="C243" s="14"/>
      <c r="D243" s="15" t="s">
        <v>398</v>
      </c>
      <c r="E243" s="16"/>
      <c r="F243" s="81">
        <v>299.25</v>
      </c>
      <c r="G243" s="81">
        <v>0</v>
      </c>
      <c r="H243" s="81">
        <v>299.25</v>
      </c>
      <c r="I243" s="17">
        <v>0</v>
      </c>
      <c r="J243" s="86">
        <v>380.96</v>
      </c>
      <c r="K243" s="87">
        <v>0</v>
      </c>
      <c r="L243" s="87">
        <v>0</v>
      </c>
      <c r="M243" s="87">
        <f t="shared" si="1140"/>
        <v>380.96</v>
      </c>
      <c r="N243" s="87">
        <v>81.739999999999995</v>
      </c>
      <c r="O243" s="87"/>
      <c r="P243" s="87"/>
      <c r="Q243" s="87">
        <f t="shared" si="1141"/>
        <v>81.739999999999995</v>
      </c>
      <c r="R243" s="87">
        <f t="shared" si="1142"/>
        <v>462.7</v>
      </c>
      <c r="S243" s="87">
        <v>0</v>
      </c>
      <c r="V243" s="17">
        <f t="shared" si="1149"/>
        <v>316.7</v>
      </c>
      <c r="W243" s="17">
        <f t="shared" si="1150"/>
        <v>0</v>
      </c>
      <c r="X243" s="108">
        <f t="shared" si="917"/>
        <v>146</v>
      </c>
      <c r="Y243" s="108">
        <f t="shared" si="918"/>
        <v>0</v>
      </c>
      <c r="Z243" s="108">
        <v>246.7</v>
      </c>
      <c r="AA243" s="108">
        <v>70</v>
      </c>
      <c r="AB243" s="108">
        <f t="shared" si="919"/>
        <v>316.7</v>
      </c>
      <c r="AC243" s="109">
        <f t="shared" si="920"/>
        <v>0</v>
      </c>
      <c r="AD243" s="108">
        <f t="shared" si="1151"/>
        <v>316.7</v>
      </c>
      <c r="AE243" s="108">
        <f t="shared" si="1152"/>
        <v>0</v>
      </c>
      <c r="AF243" s="108">
        <f t="shared" si="921"/>
        <v>0</v>
      </c>
      <c r="AG243" s="108">
        <f t="shared" si="922"/>
        <v>79</v>
      </c>
      <c r="AH243" s="108">
        <f t="shared" si="923"/>
        <v>0</v>
      </c>
      <c r="AI243" s="127">
        <f t="shared" si="924"/>
        <v>26</v>
      </c>
      <c r="AJ243" s="108">
        <f t="shared" si="925"/>
        <v>0</v>
      </c>
      <c r="AM243" s="108">
        <f t="shared" si="926"/>
        <v>79.180000000000007</v>
      </c>
      <c r="AN243" s="108">
        <f t="shared" si="927"/>
        <v>0</v>
      </c>
      <c r="AQ243" s="108">
        <f t="shared" si="928"/>
        <v>158.18</v>
      </c>
      <c r="AR243" s="108">
        <f t="shared" si="929"/>
        <v>0</v>
      </c>
      <c r="AU243" s="108">
        <f t="shared" si="1054"/>
        <v>79.180000000000007</v>
      </c>
      <c r="AV243" s="108">
        <f t="shared" si="1153"/>
        <v>0</v>
      </c>
      <c r="AY243" s="108">
        <f t="shared" si="903"/>
        <v>263.36</v>
      </c>
      <c r="AZ243" s="108">
        <f t="shared" si="904"/>
        <v>0</v>
      </c>
      <c r="BA243" s="108">
        <f t="shared" si="905"/>
        <v>263.36</v>
      </c>
      <c r="BB243" s="139">
        <v>261.77999999999997</v>
      </c>
      <c r="BD243" s="139">
        <f t="shared" si="906"/>
        <v>1.5800000000000409</v>
      </c>
      <c r="BE243" s="139">
        <f t="shared" si="907"/>
        <v>0</v>
      </c>
      <c r="BF243" s="139">
        <f t="shared" si="908"/>
        <v>52.36</v>
      </c>
      <c r="BG243" s="139">
        <f t="shared" si="909"/>
        <v>0</v>
      </c>
      <c r="BH243" s="143">
        <v>25.39</v>
      </c>
      <c r="BI243" s="108">
        <v>0</v>
      </c>
      <c r="BL243" s="108">
        <f t="shared" si="948"/>
        <v>288.75</v>
      </c>
      <c r="BM243" s="108">
        <f t="shared" si="951"/>
        <v>0</v>
      </c>
      <c r="BN243" s="108">
        <f t="shared" si="952"/>
        <v>288.75</v>
      </c>
      <c r="BO243" s="108">
        <v>261.77999999999997</v>
      </c>
      <c r="BP243" s="127"/>
      <c r="BQ243" s="108">
        <f t="shared" si="953"/>
        <v>26.970000000000027</v>
      </c>
      <c r="BR243" s="108">
        <f t="shared" si="954"/>
        <v>0</v>
      </c>
      <c r="BS243" s="108">
        <f t="shared" si="955"/>
        <v>23.8</v>
      </c>
      <c r="BT243" s="108">
        <f t="shared" si="956"/>
        <v>0</v>
      </c>
      <c r="BU243" s="108">
        <f t="shared" si="1154"/>
        <v>-3.17</v>
      </c>
      <c r="BV243" s="108">
        <v>0</v>
      </c>
      <c r="BW243" s="109">
        <v>53.99</v>
      </c>
      <c r="CA243" s="108">
        <v>339.57</v>
      </c>
      <c r="CB243" s="108">
        <v>0</v>
      </c>
      <c r="CC243">
        <v>373.53</v>
      </c>
      <c r="CD243">
        <v>0</v>
      </c>
      <c r="CE243" s="189">
        <v>31</v>
      </c>
      <c r="CF243" s="189">
        <v>0</v>
      </c>
      <c r="CG243" s="189">
        <f t="shared" si="957"/>
        <v>84.89</v>
      </c>
      <c r="CH243" s="189">
        <f t="shared" si="958"/>
        <v>0</v>
      </c>
      <c r="CI243" s="150"/>
      <c r="CJ243" s="150"/>
      <c r="CK243" s="150">
        <v>90</v>
      </c>
      <c r="CL243" s="150">
        <v>0</v>
      </c>
      <c r="CM243" s="150"/>
      <c r="CN243" s="150"/>
      <c r="CO243" s="150">
        <v>391.66</v>
      </c>
      <c r="CP243" s="150"/>
      <c r="CQ243" s="150">
        <f t="shared" si="959"/>
        <v>360</v>
      </c>
      <c r="CR243" s="150">
        <f t="shared" si="960"/>
        <v>0</v>
      </c>
      <c r="CS243" s="150">
        <f t="shared" si="961"/>
        <v>360</v>
      </c>
      <c r="CT243" s="150">
        <f t="shared" si="962"/>
        <v>0</v>
      </c>
      <c r="CU243" s="150">
        <f t="shared" si="1155"/>
        <v>360</v>
      </c>
      <c r="CV243" s="150">
        <f t="shared" si="1156"/>
        <v>0</v>
      </c>
      <c r="CW243" s="150">
        <f t="shared" si="963"/>
        <v>90</v>
      </c>
      <c r="CX243" s="150">
        <f t="shared" si="963"/>
        <v>0</v>
      </c>
      <c r="CY243" s="150"/>
      <c r="CZ243" s="150"/>
      <c r="DA243" s="150">
        <f t="shared" si="964"/>
        <v>211</v>
      </c>
      <c r="DB243" s="150">
        <f t="shared" si="965"/>
        <v>0</v>
      </c>
      <c r="DC243" s="150">
        <v>211</v>
      </c>
      <c r="DD243" s="150">
        <v>0</v>
      </c>
      <c r="DE243" s="150">
        <f t="shared" si="966"/>
        <v>0</v>
      </c>
      <c r="DF243" s="150">
        <f t="shared" si="967"/>
        <v>0</v>
      </c>
      <c r="DG243" s="150">
        <f t="shared" si="1147"/>
        <v>90</v>
      </c>
      <c r="DH243" s="150">
        <f t="shared" si="1147"/>
        <v>0</v>
      </c>
      <c r="DI243" s="150">
        <f t="shared" si="1148"/>
        <v>90</v>
      </c>
      <c r="DJ243" s="150">
        <f t="shared" si="1148"/>
        <v>0</v>
      </c>
      <c r="DK243" s="104">
        <f t="shared" si="1157"/>
        <v>59</v>
      </c>
      <c r="DL243" s="104">
        <f t="shared" si="1158"/>
        <v>0</v>
      </c>
      <c r="DM243" s="104">
        <f t="shared" si="949"/>
        <v>59</v>
      </c>
      <c r="DN243" s="104">
        <f t="shared" si="950"/>
        <v>0</v>
      </c>
      <c r="DO243" s="104">
        <v>360</v>
      </c>
      <c r="DP243" s="104">
        <v>0</v>
      </c>
      <c r="DQ243" s="104">
        <v>441.85</v>
      </c>
      <c r="DR243" s="104">
        <v>0</v>
      </c>
    </row>
    <row r="244" spans="1:122" ht="18.75">
      <c r="A244" s="13">
        <v>4</v>
      </c>
      <c r="B244" s="13"/>
      <c r="C244" s="14"/>
      <c r="D244" s="15" t="s">
        <v>399</v>
      </c>
      <c r="E244" s="16"/>
      <c r="F244" s="81">
        <v>852.09</v>
      </c>
      <c r="G244" s="81">
        <v>0</v>
      </c>
      <c r="H244" s="81">
        <v>852.09</v>
      </c>
      <c r="I244" s="17">
        <v>0</v>
      </c>
      <c r="J244" s="86">
        <v>940.96</v>
      </c>
      <c r="K244" s="87">
        <v>0</v>
      </c>
      <c r="L244" s="87">
        <v>0</v>
      </c>
      <c r="M244" s="87">
        <f t="shared" si="1140"/>
        <v>940.96</v>
      </c>
      <c r="N244" s="87">
        <v>0</v>
      </c>
      <c r="O244" s="87"/>
      <c r="P244" s="87"/>
      <c r="Q244" s="87">
        <f t="shared" si="1141"/>
        <v>0</v>
      </c>
      <c r="R244" s="87">
        <f t="shared" si="1142"/>
        <v>940.96</v>
      </c>
      <c r="S244" s="87">
        <v>0</v>
      </c>
      <c r="V244" s="17">
        <f t="shared" si="1149"/>
        <v>901.77</v>
      </c>
      <c r="W244" s="17">
        <f t="shared" si="1150"/>
        <v>0</v>
      </c>
      <c r="X244" s="108">
        <f t="shared" si="917"/>
        <v>39.190000000000055</v>
      </c>
      <c r="Y244" s="108">
        <f t="shared" si="918"/>
        <v>0</v>
      </c>
      <c r="Z244" s="108">
        <v>901.77</v>
      </c>
      <c r="AA244" s="108"/>
      <c r="AB244" s="108">
        <f t="shared" si="919"/>
        <v>901.77</v>
      </c>
      <c r="AC244" s="109">
        <f t="shared" si="920"/>
        <v>0</v>
      </c>
      <c r="AD244" s="108">
        <f t="shared" si="1151"/>
        <v>901.77</v>
      </c>
      <c r="AE244" s="108">
        <f t="shared" si="1152"/>
        <v>0</v>
      </c>
      <c r="AF244" s="108">
        <f t="shared" si="921"/>
        <v>0</v>
      </c>
      <c r="AG244" s="108">
        <f t="shared" si="922"/>
        <v>225</v>
      </c>
      <c r="AH244" s="108">
        <f t="shared" si="923"/>
        <v>0</v>
      </c>
      <c r="AI244" s="127">
        <f t="shared" si="924"/>
        <v>75</v>
      </c>
      <c r="AJ244" s="108">
        <f t="shared" si="925"/>
        <v>0</v>
      </c>
      <c r="AM244" s="108">
        <f t="shared" si="926"/>
        <v>225.44</v>
      </c>
      <c r="AN244" s="108">
        <f t="shared" si="927"/>
        <v>0</v>
      </c>
      <c r="AQ244" s="108">
        <f t="shared" si="928"/>
        <v>450.44</v>
      </c>
      <c r="AR244" s="108">
        <f t="shared" si="929"/>
        <v>0</v>
      </c>
      <c r="AU244" s="108">
        <f t="shared" si="1054"/>
        <v>225.44</v>
      </c>
      <c r="AV244" s="108">
        <f t="shared" si="1153"/>
        <v>0</v>
      </c>
      <c r="AY244" s="108">
        <f t="shared" si="903"/>
        <v>750.88</v>
      </c>
      <c r="AZ244" s="108">
        <f t="shared" si="904"/>
        <v>0</v>
      </c>
      <c r="BA244" s="108">
        <f t="shared" si="905"/>
        <v>750.88</v>
      </c>
      <c r="BB244" s="139">
        <v>750.88</v>
      </c>
      <c r="BD244" s="139">
        <f t="shared" si="906"/>
        <v>0</v>
      </c>
      <c r="BE244" s="139">
        <f t="shared" si="907"/>
        <v>0</v>
      </c>
      <c r="BF244" s="139">
        <f t="shared" si="908"/>
        <v>150.18</v>
      </c>
      <c r="BG244" s="139">
        <f t="shared" si="909"/>
        <v>0</v>
      </c>
      <c r="BH244" s="108">
        <v>75.09</v>
      </c>
      <c r="BI244" s="108">
        <v>0</v>
      </c>
      <c r="BL244" s="108">
        <f t="shared" si="948"/>
        <v>825.97</v>
      </c>
      <c r="BM244" s="108">
        <f t="shared" si="951"/>
        <v>0</v>
      </c>
      <c r="BN244" s="108">
        <f t="shared" si="952"/>
        <v>825.97</v>
      </c>
      <c r="BO244" s="108">
        <v>750.88</v>
      </c>
      <c r="BP244" s="127"/>
      <c r="BQ244" s="108">
        <f t="shared" si="953"/>
        <v>75.090000000000032</v>
      </c>
      <c r="BR244" s="108">
        <f t="shared" si="954"/>
        <v>0</v>
      </c>
      <c r="BS244" s="108">
        <f t="shared" si="955"/>
        <v>68.260000000000005</v>
      </c>
      <c r="BT244" s="108">
        <f t="shared" si="956"/>
        <v>0</v>
      </c>
      <c r="BU244" s="108">
        <f>ROUND(BS244-BQ244,2)</f>
        <v>-6.83</v>
      </c>
      <c r="BV244" s="108">
        <v>0</v>
      </c>
      <c r="BW244" s="109">
        <v>82.63</v>
      </c>
      <c r="CA244" s="108">
        <v>901.77</v>
      </c>
      <c r="CB244" s="108">
        <v>0</v>
      </c>
      <c r="CC244">
        <v>991.95</v>
      </c>
      <c r="CD244">
        <v>0</v>
      </c>
      <c r="CE244" s="189">
        <v>83</v>
      </c>
      <c r="CF244" s="189">
        <v>0</v>
      </c>
      <c r="CG244" s="189">
        <f t="shared" si="957"/>
        <v>225.44</v>
      </c>
      <c r="CH244" s="189">
        <f t="shared" si="958"/>
        <v>0</v>
      </c>
      <c r="CI244" s="150"/>
      <c r="CJ244" s="150"/>
      <c r="CK244" s="150">
        <f>370-70-50</f>
        <v>250</v>
      </c>
      <c r="CL244" s="150">
        <v>0</v>
      </c>
      <c r="CM244" s="150"/>
      <c r="CN244" s="150"/>
      <c r="CO244" s="150">
        <v>1033.21</v>
      </c>
      <c r="CP244" s="150"/>
      <c r="CQ244" s="150">
        <f t="shared" si="959"/>
        <v>1000</v>
      </c>
      <c r="CR244" s="150">
        <f t="shared" si="960"/>
        <v>0</v>
      </c>
      <c r="CS244" s="150">
        <f t="shared" si="961"/>
        <v>1000</v>
      </c>
      <c r="CT244" s="150">
        <f t="shared" si="962"/>
        <v>0</v>
      </c>
      <c r="CU244" s="150">
        <v>1050</v>
      </c>
      <c r="CV244" s="150">
        <v>0</v>
      </c>
      <c r="CW244" s="150">
        <f t="shared" si="963"/>
        <v>262.5</v>
      </c>
      <c r="CX244" s="150">
        <f t="shared" si="963"/>
        <v>0</v>
      </c>
      <c r="CY244" s="150"/>
      <c r="CZ244" s="150"/>
      <c r="DA244" s="150">
        <f t="shared" si="964"/>
        <v>595.5</v>
      </c>
      <c r="DB244" s="150">
        <f t="shared" si="965"/>
        <v>0</v>
      </c>
      <c r="DC244" s="150">
        <v>595.5</v>
      </c>
      <c r="DD244" s="150">
        <v>0</v>
      </c>
      <c r="DE244" s="150">
        <f t="shared" si="966"/>
        <v>0</v>
      </c>
      <c r="DF244" s="150">
        <f t="shared" si="967"/>
        <v>0</v>
      </c>
      <c r="DG244" s="150">
        <f t="shared" si="1147"/>
        <v>262.5</v>
      </c>
      <c r="DH244" s="150">
        <f t="shared" si="1147"/>
        <v>0</v>
      </c>
      <c r="DI244" s="150">
        <f t="shared" si="1148"/>
        <v>262.5</v>
      </c>
      <c r="DJ244" s="150">
        <f t="shared" si="1148"/>
        <v>0</v>
      </c>
      <c r="DK244" s="104">
        <f t="shared" si="1157"/>
        <v>192</v>
      </c>
      <c r="DL244" s="104">
        <f t="shared" si="1158"/>
        <v>0</v>
      </c>
      <c r="DM244" s="104">
        <f t="shared" si="949"/>
        <v>192</v>
      </c>
      <c r="DN244" s="104">
        <f t="shared" si="950"/>
        <v>0</v>
      </c>
      <c r="DO244" s="104">
        <v>1050</v>
      </c>
      <c r="DP244" s="104">
        <v>0</v>
      </c>
      <c r="DQ244" s="104">
        <v>1138.56</v>
      </c>
      <c r="DR244" s="104">
        <v>0</v>
      </c>
    </row>
    <row r="245" spans="1:122" ht="18.75">
      <c r="A245" s="13">
        <v>5</v>
      </c>
      <c r="B245" s="13"/>
      <c r="C245" s="14"/>
      <c r="D245" s="15" t="s">
        <v>400</v>
      </c>
      <c r="E245" s="16"/>
      <c r="F245" s="81">
        <v>370</v>
      </c>
      <c r="G245" s="81">
        <v>0</v>
      </c>
      <c r="H245" s="81">
        <v>370</v>
      </c>
      <c r="I245" s="17">
        <v>0</v>
      </c>
      <c r="J245" s="86">
        <v>471.71</v>
      </c>
      <c r="K245" s="87">
        <v>0</v>
      </c>
      <c r="L245" s="87">
        <v>0</v>
      </c>
      <c r="M245" s="87">
        <f t="shared" si="1140"/>
        <v>471.71</v>
      </c>
      <c r="N245" s="87">
        <v>33</v>
      </c>
      <c r="O245" s="87"/>
      <c r="P245" s="87"/>
      <c r="Q245" s="87">
        <f t="shared" si="1141"/>
        <v>33</v>
      </c>
      <c r="R245" s="87">
        <f t="shared" si="1142"/>
        <v>504.71</v>
      </c>
      <c r="S245" s="87">
        <v>0</v>
      </c>
      <c r="V245" s="17">
        <f t="shared" si="1149"/>
        <v>391.57</v>
      </c>
      <c r="W245" s="17">
        <f t="shared" si="1150"/>
        <v>0</v>
      </c>
      <c r="X245" s="108">
        <f t="shared" si="917"/>
        <v>113.13999999999999</v>
      </c>
      <c r="Y245" s="108">
        <f t="shared" si="918"/>
        <v>0</v>
      </c>
      <c r="Z245" s="108">
        <v>361.57</v>
      </c>
      <c r="AA245" s="108">
        <v>30</v>
      </c>
      <c r="AB245" s="108">
        <f t="shared" si="919"/>
        <v>391.57</v>
      </c>
      <c r="AC245" s="109">
        <f t="shared" si="920"/>
        <v>0</v>
      </c>
      <c r="AD245" s="108">
        <f t="shared" si="1151"/>
        <v>391.57</v>
      </c>
      <c r="AE245" s="108">
        <f t="shared" si="1152"/>
        <v>0</v>
      </c>
      <c r="AF245" s="108">
        <f t="shared" si="921"/>
        <v>0</v>
      </c>
      <c r="AG245" s="108">
        <f t="shared" si="922"/>
        <v>98</v>
      </c>
      <c r="AH245" s="108">
        <f t="shared" si="923"/>
        <v>0</v>
      </c>
      <c r="AI245" s="127">
        <f t="shared" si="924"/>
        <v>33</v>
      </c>
      <c r="AJ245" s="108">
        <f t="shared" si="925"/>
        <v>0</v>
      </c>
      <c r="AM245" s="108">
        <f t="shared" si="926"/>
        <v>97.89</v>
      </c>
      <c r="AN245" s="108">
        <f t="shared" si="927"/>
        <v>0</v>
      </c>
      <c r="AQ245" s="108">
        <f t="shared" si="928"/>
        <v>195.89</v>
      </c>
      <c r="AR245" s="108">
        <f t="shared" si="929"/>
        <v>0</v>
      </c>
      <c r="AU245" s="108">
        <f t="shared" si="1054"/>
        <v>97.89</v>
      </c>
      <c r="AV245" s="108">
        <f t="shared" si="1153"/>
        <v>0</v>
      </c>
      <c r="AY245" s="108">
        <f t="shared" si="903"/>
        <v>326.77999999999997</v>
      </c>
      <c r="AZ245" s="108">
        <f t="shared" si="904"/>
        <v>0</v>
      </c>
      <c r="BA245" s="108">
        <f t="shared" si="905"/>
        <v>326.77999999999997</v>
      </c>
      <c r="BB245" s="139">
        <v>326.77999999999997</v>
      </c>
      <c r="BD245" s="139">
        <f t="shared" si="906"/>
        <v>0</v>
      </c>
      <c r="BE245" s="139">
        <f t="shared" si="907"/>
        <v>0</v>
      </c>
      <c r="BF245" s="139">
        <f t="shared" si="908"/>
        <v>65.36</v>
      </c>
      <c r="BG245" s="139">
        <f t="shared" si="909"/>
        <v>0</v>
      </c>
      <c r="BH245" s="108">
        <v>32.4</v>
      </c>
      <c r="BI245" s="108">
        <v>0</v>
      </c>
      <c r="BL245" s="108">
        <f t="shared" si="948"/>
        <v>359.17999999999995</v>
      </c>
      <c r="BM245" s="108">
        <f t="shared" si="951"/>
        <v>0</v>
      </c>
      <c r="BN245" s="108">
        <f t="shared" si="952"/>
        <v>359.17999999999995</v>
      </c>
      <c r="BO245" s="108">
        <v>326.77999999999997</v>
      </c>
      <c r="BP245" s="127"/>
      <c r="BQ245" s="108">
        <f t="shared" si="953"/>
        <v>32.399999999999977</v>
      </c>
      <c r="BR245" s="108">
        <f t="shared" si="954"/>
        <v>0</v>
      </c>
      <c r="BS245" s="108">
        <f t="shared" si="955"/>
        <v>29.71</v>
      </c>
      <c r="BT245" s="108">
        <f t="shared" si="956"/>
        <v>0</v>
      </c>
      <c r="BU245" s="108">
        <f>ROUND(BS245-BQ245,2)</f>
        <v>-2.69</v>
      </c>
      <c r="BV245" s="108">
        <v>0</v>
      </c>
      <c r="BW245" s="109">
        <v>55.39</v>
      </c>
      <c r="CA245" s="108">
        <v>411.87999999999994</v>
      </c>
      <c r="CB245" s="108">
        <v>0</v>
      </c>
      <c r="CC245">
        <v>453.07</v>
      </c>
      <c r="CD245">
        <v>0</v>
      </c>
      <c r="CE245" s="189">
        <v>38</v>
      </c>
      <c r="CF245" s="189">
        <v>0</v>
      </c>
      <c r="CG245" s="189">
        <f t="shared" si="957"/>
        <v>102.97</v>
      </c>
      <c r="CH245" s="189">
        <f t="shared" si="958"/>
        <v>0</v>
      </c>
      <c r="CI245" s="150"/>
      <c r="CJ245" s="150"/>
      <c r="CK245" s="150">
        <v>120</v>
      </c>
      <c r="CL245" s="150">
        <v>0</v>
      </c>
      <c r="CM245" s="150"/>
      <c r="CN245" s="150"/>
      <c r="CO245" s="150">
        <v>446.35</v>
      </c>
      <c r="CP245" s="150"/>
      <c r="CQ245" s="150">
        <f t="shared" si="959"/>
        <v>480</v>
      </c>
      <c r="CR245" s="150">
        <f t="shared" si="960"/>
        <v>0</v>
      </c>
      <c r="CS245" s="150">
        <f t="shared" si="961"/>
        <v>446.35</v>
      </c>
      <c r="CT245" s="150">
        <f t="shared" si="962"/>
        <v>0</v>
      </c>
      <c r="CU245" s="150">
        <f t="shared" ref="CU245:CU247" si="1159">IF(CQ245&lt;CS245,CQ245,CS245)</f>
        <v>446.35</v>
      </c>
      <c r="CV245" s="150">
        <f t="shared" ref="CV245:CV247" si="1160">IF(CR245&lt;CT245,CR245,CT245)</f>
        <v>0</v>
      </c>
      <c r="CW245" s="150">
        <f t="shared" si="963"/>
        <v>111.59</v>
      </c>
      <c r="CX245" s="150">
        <f t="shared" si="963"/>
        <v>0</v>
      </c>
      <c r="CY245" s="150"/>
      <c r="CZ245" s="150"/>
      <c r="DA245" s="150">
        <f t="shared" si="964"/>
        <v>269.59000000000003</v>
      </c>
      <c r="DB245" s="150">
        <f t="shared" si="965"/>
        <v>0</v>
      </c>
      <c r="DC245" s="150">
        <v>269.58999999999997</v>
      </c>
      <c r="DD245" s="150">
        <v>0</v>
      </c>
      <c r="DE245" s="150">
        <f t="shared" si="966"/>
        <v>0</v>
      </c>
      <c r="DF245" s="150">
        <f t="shared" si="967"/>
        <v>0</v>
      </c>
      <c r="DG245" s="150">
        <f t="shared" si="1147"/>
        <v>111.59</v>
      </c>
      <c r="DH245" s="150">
        <f t="shared" si="1147"/>
        <v>0</v>
      </c>
      <c r="DI245" s="150">
        <f t="shared" si="1148"/>
        <v>111.59</v>
      </c>
      <c r="DJ245" s="150">
        <f t="shared" si="1148"/>
        <v>0</v>
      </c>
      <c r="DK245" s="104">
        <f t="shared" si="1157"/>
        <v>65.169999999999987</v>
      </c>
      <c r="DL245" s="104">
        <f t="shared" si="1158"/>
        <v>0</v>
      </c>
      <c r="DM245" s="104">
        <f t="shared" si="949"/>
        <v>65.169999999999987</v>
      </c>
      <c r="DN245" s="104">
        <f t="shared" si="950"/>
        <v>0</v>
      </c>
      <c r="DO245" s="185">
        <f>416.35+30</f>
        <v>446.35</v>
      </c>
      <c r="DP245" s="104">
        <v>0</v>
      </c>
      <c r="DQ245" s="104">
        <f>33+466.27</f>
        <v>499.27</v>
      </c>
      <c r="DR245" s="104">
        <v>0</v>
      </c>
    </row>
    <row r="246" spans="1:122" ht="18.75">
      <c r="A246" s="13">
        <v>6</v>
      </c>
      <c r="B246" s="13"/>
      <c r="C246" s="14"/>
      <c r="D246" s="15" t="s">
        <v>401</v>
      </c>
      <c r="E246" s="16"/>
      <c r="F246" s="81">
        <v>0</v>
      </c>
      <c r="G246" s="81">
        <v>0</v>
      </c>
      <c r="H246" s="81">
        <v>0</v>
      </c>
      <c r="I246" s="17">
        <v>0</v>
      </c>
      <c r="J246" s="86">
        <v>0</v>
      </c>
      <c r="K246" s="87">
        <v>0</v>
      </c>
      <c r="L246" s="87">
        <v>0</v>
      </c>
      <c r="M246" s="87">
        <f t="shared" si="1140"/>
        <v>0</v>
      </c>
      <c r="N246" s="87">
        <v>0</v>
      </c>
      <c r="O246" s="87"/>
      <c r="P246" s="87"/>
      <c r="Q246" s="87">
        <f t="shared" si="1141"/>
        <v>0</v>
      </c>
      <c r="R246" s="87">
        <f t="shared" si="1142"/>
        <v>0</v>
      </c>
      <c r="S246" s="87">
        <v>0</v>
      </c>
      <c r="V246" s="17">
        <f t="shared" si="1149"/>
        <v>0</v>
      </c>
      <c r="W246" s="17">
        <f t="shared" si="1150"/>
        <v>0</v>
      </c>
      <c r="X246" s="108">
        <f t="shared" si="917"/>
        <v>0</v>
      </c>
      <c r="Y246" s="108">
        <f t="shared" si="918"/>
        <v>0</v>
      </c>
      <c r="Z246" s="108">
        <v>0</v>
      </c>
      <c r="AA246" s="108"/>
      <c r="AB246" s="108">
        <f t="shared" si="919"/>
        <v>0</v>
      </c>
      <c r="AC246" s="109">
        <f t="shared" si="920"/>
        <v>0</v>
      </c>
      <c r="AD246" s="108">
        <f t="shared" si="1151"/>
        <v>0</v>
      </c>
      <c r="AE246" s="108">
        <f t="shared" si="1152"/>
        <v>0</v>
      </c>
      <c r="AF246" s="108">
        <f t="shared" si="921"/>
        <v>0</v>
      </c>
      <c r="AG246" s="108">
        <f t="shared" si="922"/>
        <v>0</v>
      </c>
      <c r="AH246" s="108">
        <f t="shared" si="923"/>
        <v>0</v>
      </c>
      <c r="AI246" s="127">
        <f t="shared" si="924"/>
        <v>0</v>
      </c>
      <c r="AJ246" s="108">
        <f t="shared" si="925"/>
        <v>0</v>
      </c>
      <c r="AM246" s="108">
        <f t="shared" si="926"/>
        <v>0</v>
      </c>
      <c r="AN246" s="108">
        <f t="shared" si="927"/>
        <v>0</v>
      </c>
      <c r="AQ246" s="108">
        <f t="shared" si="928"/>
        <v>0</v>
      </c>
      <c r="AR246" s="108">
        <f t="shared" si="929"/>
        <v>0</v>
      </c>
      <c r="AU246" s="108">
        <f t="shared" si="1054"/>
        <v>0</v>
      </c>
      <c r="AV246" s="108">
        <f t="shared" si="1153"/>
        <v>0</v>
      </c>
      <c r="AY246" s="108">
        <f t="shared" si="903"/>
        <v>0</v>
      </c>
      <c r="AZ246" s="108">
        <f t="shared" si="904"/>
        <v>0</v>
      </c>
      <c r="BA246" s="108">
        <f t="shared" si="905"/>
        <v>0</v>
      </c>
      <c r="BB246" s="139">
        <v>0</v>
      </c>
      <c r="BD246" s="139">
        <f t="shared" si="906"/>
        <v>0</v>
      </c>
      <c r="BE246" s="139">
        <f t="shared" si="907"/>
        <v>0</v>
      </c>
      <c r="BF246" s="139">
        <f t="shared" si="908"/>
        <v>0</v>
      </c>
      <c r="BG246" s="139">
        <f t="shared" si="909"/>
        <v>0</v>
      </c>
      <c r="BH246" s="108">
        <v>0</v>
      </c>
      <c r="BI246" s="108">
        <v>0</v>
      </c>
      <c r="BL246" s="108">
        <f t="shared" si="948"/>
        <v>0</v>
      </c>
      <c r="BM246" s="108">
        <f t="shared" si="951"/>
        <v>0</v>
      </c>
      <c r="BN246" s="108">
        <f t="shared" si="952"/>
        <v>0</v>
      </c>
      <c r="BO246" s="108">
        <v>0</v>
      </c>
      <c r="BP246" s="127"/>
      <c r="BQ246" s="108">
        <f t="shared" si="953"/>
        <v>0</v>
      </c>
      <c r="BR246" s="108">
        <f t="shared" si="954"/>
        <v>0</v>
      </c>
      <c r="BS246" s="108">
        <f t="shared" si="955"/>
        <v>0</v>
      </c>
      <c r="BT246" s="108">
        <f t="shared" si="956"/>
        <v>0</v>
      </c>
      <c r="BU246" s="108">
        <f t="shared" si="987"/>
        <v>0</v>
      </c>
      <c r="BV246" s="108">
        <v>0</v>
      </c>
      <c r="CA246" s="108">
        <v>0</v>
      </c>
      <c r="CB246" s="108">
        <v>0</v>
      </c>
      <c r="CC246">
        <v>0</v>
      </c>
      <c r="CD246">
        <v>0</v>
      </c>
      <c r="CE246" s="189">
        <v>0</v>
      </c>
      <c r="CF246" s="189">
        <v>0</v>
      </c>
      <c r="CG246" s="189">
        <f t="shared" si="957"/>
        <v>0</v>
      </c>
      <c r="CH246" s="189">
        <f t="shared" si="958"/>
        <v>0</v>
      </c>
      <c r="CI246" s="150"/>
      <c r="CJ246" s="150"/>
      <c r="CK246" s="150">
        <v>0</v>
      </c>
      <c r="CL246" s="150">
        <v>0</v>
      </c>
      <c r="CM246" s="150"/>
      <c r="CN246" s="150"/>
      <c r="CO246" s="150"/>
      <c r="CP246" s="150"/>
      <c r="CQ246" s="150">
        <f t="shared" si="959"/>
        <v>0</v>
      </c>
      <c r="CR246" s="150">
        <f t="shared" si="960"/>
        <v>0</v>
      </c>
      <c r="CS246" s="150">
        <f t="shared" si="961"/>
        <v>0</v>
      </c>
      <c r="CT246" s="150">
        <f t="shared" si="962"/>
        <v>0</v>
      </c>
      <c r="CU246" s="150">
        <f t="shared" si="1159"/>
        <v>0</v>
      </c>
      <c r="CV246" s="150">
        <f t="shared" si="1160"/>
        <v>0</v>
      </c>
      <c r="CW246" s="150">
        <f t="shared" si="963"/>
        <v>0</v>
      </c>
      <c r="CX246" s="150">
        <f t="shared" si="963"/>
        <v>0</v>
      </c>
      <c r="CY246" s="150"/>
      <c r="CZ246" s="150"/>
      <c r="DA246" s="150">
        <f t="shared" si="964"/>
        <v>0</v>
      </c>
      <c r="DB246" s="150">
        <f t="shared" si="965"/>
        <v>0</v>
      </c>
      <c r="DC246" s="150">
        <v>0</v>
      </c>
      <c r="DD246" s="150">
        <v>0</v>
      </c>
      <c r="DE246" s="150">
        <f t="shared" si="966"/>
        <v>0</v>
      </c>
      <c r="DF246" s="150">
        <f t="shared" si="967"/>
        <v>0</v>
      </c>
      <c r="DG246" s="150">
        <f t="shared" si="1147"/>
        <v>0</v>
      </c>
      <c r="DH246" s="150">
        <f t="shared" si="1147"/>
        <v>0</v>
      </c>
      <c r="DI246" s="150">
        <f t="shared" si="1148"/>
        <v>0</v>
      </c>
      <c r="DJ246" s="150">
        <f t="shared" si="1148"/>
        <v>0</v>
      </c>
      <c r="DK246" s="104">
        <f t="shared" si="1157"/>
        <v>0</v>
      </c>
      <c r="DL246" s="104">
        <f t="shared" si="1158"/>
        <v>0</v>
      </c>
      <c r="DM246" s="104">
        <f t="shared" si="949"/>
        <v>0</v>
      </c>
      <c r="DN246" s="104">
        <f t="shared" si="950"/>
        <v>0</v>
      </c>
      <c r="DO246" s="104">
        <v>0</v>
      </c>
      <c r="DP246" s="104">
        <v>0</v>
      </c>
      <c r="DQ246" s="104">
        <v>0</v>
      </c>
      <c r="DR246" s="104">
        <v>0</v>
      </c>
    </row>
    <row r="247" spans="1:122" ht="18.75">
      <c r="A247" s="13">
        <v>7</v>
      </c>
      <c r="B247" s="13"/>
      <c r="C247" s="14"/>
      <c r="D247" s="15" t="s">
        <v>402</v>
      </c>
      <c r="E247" s="16"/>
      <c r="F247" s="81">
        <v>0</v>
      </c>
      <c r="G247" s="81">
        <v>0</v>
      </c>
      <c r="H247" s="81">
        <v>0</v>
      </c>
      <c r="I247" s="17">
        <v>0</v>
      </c>
      <c r="J247" s="86">
        <v>0</v>
      </c>
      <c r="K247" s="87">
        <v>0</v>
      </c>
      <c r="L247" s="87">
        <v>0</v>
      </c>
      <c r="M247" s="87">
        <f t="shared" si="1140"/>
        <v>0</v>
      </c>
      <c r="N247" s="87">
        <v>0</v>
      </c>
      <c r="O247" s="87"/>
      <c r="P247" s="87"/>
      <c r="Q247" s="87">
        <f t="shared" si="1141"/>
        <v>0</v>
      </c>
      <c r="R247" s="87">
        <f t="shared" si="1142"/>
        <v>0</v>
      </c>
      <c r="S247" s="87">
        <v>0</v>
      </c>
      <c r="V247" s="17">
        <f t="shared" si="1149"/>
        <v>0</v>
      </c>
      <c r="W247" s="17">
        <f t="shared" si="1150"/>
        <v>0</v>
      </c>
      <c r="X247" s="108">
        <f t="shared" si="917"/>
        <v>0</v>
      </c>
      <c r="Y247" s="108">
        <f t="shared" si="918"/>
        <v>0</v>
      </c>
      <c r="Z247" s="108">
        <v>0</v>
      </c>
      <c r="AA247" s="108"/>
      <c r="AB247" s="108">
        <f t="shared" si="919"/>
        <v>0</v>
      </c>
      <c r="AC247" s="109">
        <f t="shared" si="920"/>
        <v>0</v>
      </c>
      <c r="AD247" s="108">
        <f t="shared" si="1151"/>
        <v>0</v>
      </c>
      <c r="AE247" s="108">
        <f t="shared" si="1152"/>
        <v>0</v>
      </c>
      <c r="AF247" s="108">
        <f t="shared" si="921"/>
        <v>0</v>
      </c>
      <c r="AG247" s="108">
        <f t="shared" si="922"/>
        <v>0</v>
      </c>
      <c r="AH247" s="108">
        <f t="shared" si="923"/>
        <v>0</v>
      </c>
      <c r="AI247" s="127">
        <f t="shared" si="924"/>
        <v>0</v>
      </c>
      <c r="AJ247" s="108">
        <f t="shared" si="925"/>
        <v>0</v>
      </c>
      <c r="AM247" s="108">
        <f t="shared" si="926"/>
        <v>0</v>
      </c>
      <c r="AN247" s="108">
        <f t="shared" si="927"/>
        <v>0</v>
      </c>
      <c r="AQ247" s="108">
        <f t="shared" si="928"/>
        <v>0</v>
      </c>
      <c r="AR247" s="108">
        <f t="shared" si="929"/>
        <v>0</v>
      </c>
      <c r="AU247" s="108">
        <f t="shared" si="1054"/>
        <v>0</v>
      </c>
      <c r="AV247" s="108">
        <f t="shared" si="1153"/>
        <v>0</v>
      </c>
      <c r="AY247" s="108">
        <f t="shared" si="903"/>
        <v>0</v>
      </c>
      <c r="AZ247" s="108">
        <f t="shared" si="904"/>
        <v>0</v>
      </c>
      <c r="BA247" s="108">
        <f t="shared" si="905"/>
        <v>0</v>
      </c>
      <c r="BB247" s="139">
        <v>0</v>
      </c>
      <c r="BD247" s="139">
        <f t="shared" si="906"/>
        <v>0</v>
      </c>
      <c r="BE247" s="139">
        <f t="shared" si="907"/>
        <v>0</v>
      </c>
      <c r="BF247" s="139">
        <f t="shared" si="908"/>
        <v>0</v>
      </c>
      <c r="BG247" s="139">
        <f t="shared" si="909"/>
        <v>0</v>
      </c>
      <c r="BH247" s="108">
        <v>0</v>
      </c>
      <c r="BI247" s="108">
        <v>0</v>
      </c>
      <c r="BL247" s="108">
        <f t="shared" si="948"/>
        <v>0</v>
      </c>
      <c r="BM247" s="108">
        <f t="shared" si="951"/>
        <v>0</v>
      </c>
      <c r="BN247" s="108">
        <f t="shared" si="952"/>
        <v>0</v>
      </c>
      <c r="BO247" s="108">
        <v>0</v>
      </c>
      <c r="BP247" s="127"/>
      <c r="BQ247" s="108">
        <f t="shared" si="953"/>
        <v>0</v>
      </c>
      <c r="BR247" s="108">
        <f t="shared" si="954"/>
        <v>0</v>
      </c>
      <c r="BS247" s="108">
        <f t="shared" si="955"/>
        <v>0</v>
      </c>
      <c r="BT247" s="108">
        <f t="shared" si="956"/>
        <v>0</v>
      </c>
      <c r="BU247" s="108">
        <f t="shared" si="987"/>
        <v>0</v>
      </c>
      <c r="BV247" s="108">
        <v>0</v>
      </c>
      <c r="CA247" s="108">
        <v>0</v>
      </c>
      <c r="CB247" s="108">
        <v>0</v>
      </c>
      <c r="CC247">
        <v>0</v>
      </c>
      <c r="CD247">
        <v>0</v>
      </c>
      <c r="CE247" s="189">
        <v>0</v>
      </c>
      <c r="CF247" s="189">
        <v>0</v>
      </c>
      <c r="CG247" s="189">
        <f t="shared" si="957"/>
        <v>0</v>
      </c>
      <c r="CH247" s="189">
        <f t="shared" si="958"/>
        <v>0</v>
      </c>
      <c r="CI247" s="150"/>
      <c r="CJ247" s="150"/>
      <c r="CK247" s="150">
        <v>0</v>
      </c>
      <c r="CL247" s="150">
        <v>0</v>
      </c>
      <c r="CM247" s="150"/>
      <c r="CN247" s="150"/>
      <c r="CO247" s="150"/>
      <c r="CP247" s="150"/>
      <c r="CQ247" s="150">
        <f t="shared" si="959"/>
        <v>0</v>
      </c>
      <c r="CR247" s="150">
        <f t="shared" si="960"/>
        <v>0</v>
      </c>
      <c r="CS247" s="150">
        <f t="shared" si="961"/>
        <v>0</v>
      </c>
      <c r="CT247" s="150">
        <f t="shared" si="962"/>
        <v>0</v>
      </c>
      <c r="CU247" s="150">
        <f t="shared" si="1159"/>
        <v>0</v>
      </c>
      <c r="CV247" s="150">
        <f t="shared" si="1160"/>
        <v>0</v>
      </c>
      <c r="CW247" s="150">
        <f t="shared" si="963"/>
        <v>0</v>
      </c>
      <c r="CX247" s="150">
        <f t="shared" si="963"/>
        <v>0</v>
      </c>
      <c r="CY247" s="150"/>
      <c r="CZ247" s="150"/>
      <c r="DA247" s="150">
        <f t="shared" si="964"/>
        <v>0</v>
      </c>
      <c r="DB247" s="150">
        <f t="shared" si="965"/>
        <v>0</v>
      </c>
      <c r="DC247" s="150">
        <v>0</v>
      </c>
      <c r="DD247" s="150">
        <v>0</v>
      </c>
      <c r="DE247" s="150">
        <f t="shared" si="966"/>
        <v>0</v>
      </c>
      <c r="DF247" s="150">
        <f t="shared" si="967"/>
        <v>0</v>
      </c>
      <c r="DG247" s="150">
        <f t="shared" si="1147"/>
        <v>0</v>
      </c>
      <c r="DH247" s="150">
        <f t="shared" si="1147"/>
        <v>0</v>
      </c>
      <c r="DI247" s="150">
        <f t="shared" si="1148"/>
        <v>0</v>
      </c>
      <c r="DJ247" s="150">
        <f t="shared" si="1148"/>
        <v>0</v>
      </c>
      <c r="DK247" s="104">
        <f t="shared" si="1157"/>
        <v>0</v>
      </c>
      <c r="DL247" s="104">
        <f t="shared" si="1158"/>
        <v>0</v>
      </c>
      <c r="DM247" s="104">
        <f t="shared" si="949"/>
        <v>0</v>
      </c>
      <c r="DN247" s="104">
        <f t="shared" si="950"/>
        <v>0</v>
      </c>
      <c r="DO247" s="104">
        <v>0</v>
      </c>
      <c r="DP247" s="104">
        <v>0</v>
      </c>
      <c r="DQ247" s="104">
        <v>0</v>
      </c>
      <c r="DR247" s="104">
        <v>0</v>
      </c>
    </row>
    <row r="248" spans="1:122" ht="18.75">
      <c r="A248" s="23"/>
      <c r="B248" s="23" t="s">
        <v>403</v>
      </c>
      <c r="C248" s="24" t="s">
        <v>94</v>
      </c>
      <c r="D248" s="25" t="s">
        <v>396</v>
      </c>
      <c r="E248" s="26" t="s">
        <v>404</v>
      </c>
      <c r="F248" s="64">
        <v>5514.34</v>
      </c>
      <c r="G248" s="64">
        <v>2183.8200000000002</v>
      </c>
      <c r="H248" s="64">
        <v>5514.34</v>
      </c>
      <c r="I248" s="64">
        <v>2183.8200000000002</v>
      </c>
      <c r="J248" s="96">
        <f t="shared" ref="J248:AA248" si="1161">+J241+J242+J243+J244+J245+J246+J247</f>
        <v>6343.63</v>
      </c>
      <c r="K248" s="96">
        <f t="shared" si="1161"/>
        <v>0</v>
      </c>
      <c r="L248" s="96">
        <f t="shared" si="1161"/>
        <v>0</v>
      </c>
      <c r="M248" s="96">
        <f t="shared" si="1161"/>
        <v>6343.63</v>
      </c>
      <c r="N248" s="96">
        <f t="shared" si="1161"/>
        <v>189.74</v>
      </c>
      <c r="O248" s="96">
        <f t="shared" si="1161"/>
        <v>0</v>
      </c>
      <c r="P248" s="96">
        <f t="shared" si="1161"/>
        <v>0</v>
      </c>
      <c r="Q248" s="96">
        <f t="shared" si="1161"/>
        <v>189.74</v>
      </c>
      <c r="R248" s="96">
        <f t="shared" si="1161"/>
        <v>6533.37</v>
      </c>
      <c r="S248" s="96">
        <f t="shared" si="1161"/>
        <v>2500</v>
      </c>
      <c r="T248" s="96">
        <f t="shared" si="1161"/>
        <v>0</v>
      </c>
      <c r="U248" s="96">
        <f t="shared" si="1161"/>
        <v>0</v>
      </c>
      <c r="V248" s="96">
        <f t="shared" si="1161"/>
        <v>5835.83</v>
      </c>
      <c r="W248" s="96">
        <f t="shared" si="1161"/>
        <v>2255.23</v>
      </c>
      <c r="X248" s="96">
        <f t="shared" si="1161"/>
        <v>697.54000000000008</v>
      </c>
      <c r="Y248" s="96">
        <f t="shared" si="1161"/>
        <v>244.76999999999998</v>
      </c>
      <c r="Z248" s="96">
        <f t="shared" si="1161"/>
        <v>5680.83</v>
      </c>
      <c r="AA248" s="96">
        <f t="shared" si="1161"/>
        <v>155</v>
      </c>
      <c r="AB248" s="64">
        <f t="shared" si="919"/>
        <v>5835.83</v>
      </c>
      <c r="AC248" s="109">
        <f t="shared" si="920"/>
        <v>0</v>
      </c>
      <c r="AD248" s="64">
        <f t="shared" ref="AD248:CP248" si="1162">+AD241+AD242+AD243+AD244+AD245+AD246+AD247</f>
        <v>5835.83</v>
      </c>
      <c r="AE248" s="64">
        <f t="shared" si="1162"/>
        <v>2255.23</v>
      </c>
      <c r="AF248" s="64">
        <f t="shared" si="1162"/>
        <v>2255.5</v>
      </c>
      <c r="AG248" s="64">
        <f t="shared" si="1162"/>
        <v>1458</v>
      </c>
      <c r="AH248" s="64">
        <f t="shared" si="1162"/>
        <v>564</v>
      </c>
      <c r="AI248" s="132">
        <f t="shared" si="1162"/>
        <v>486</v>
      </c>
      <c r="AJ248" s="64">
        <f t="shared" si="1162"/>
        <v>188</v>
      </c>
      <c r="AK248" s="64">
        <f t="shared" si="1162"/>
        <v>0</v>
      </c>
      <c r="AL248" s="64">
        <f t="shared" si="1162"/>
        <v>0</v>
      </c>
      <c r="AM248" s="64">
        <f t="shared" si="1162"/>
        <v>1458.9600000000003</v>
      </c>
      <c r="AN248" s="64">
        <f t="shared" si="1162"/>
        <v>549.15</v>
      </c>
      <c r="AO248" s="64">
        <f t="shared" si="1162"/>
        <v>0</v>
      </c>
      <c r="AP248" s="64">
        <f t="shared" si="1162"/>
        <v>0</v>
      </c>
      <c r="AQ248" s="64">
        <f t="shared" si="1162"/>
        <v>2916.9599999999996</v>
      </c>
      <c r="AR248" s="64">
        <f t="shared" si="1162"/>
        <v>1113.1500000000001</v>
      </c>
      <c r="AS248" s="64">
        <f t="shared" si="1162"/>
        <v>0</v>
      </c>
      <c r="AT248" s="64">
        <f t="shared" si="1162"/>
        <v>0</v>
      </c>
      <c r="AU248" s="64">
        <f t="shared" si="1162"/>
        <v>1458.9600000000003</v>
      </c>
      <c r="AV248" s="64">
        <f t="shared" si="1162"/>
        <v>563.80999999999995</v>
      </c>
      <c r="AW248" s="64">
        <f t="shared" si="1162"/>
        <v>0</v>
      </c>
      <c r="AX248" s="64">
        <f t="shared" si="1162"/>
        <v>506.5</v>
      </c>
      <c r="AY248" s="64">
        <f t="shared" si="1162"/>
        <v>4861.92</v>
      </c>
      <c r="AZ248" s="64">
        <f t="shared" si="1162"/>
        <v>2371.46</v>
      </c>
      <c r="BA248" s="64">
        <f t="shared" si="1162"/>
        <v>7233.38</v>
      </c>
      <c r="BB248" s="64">
        <f t="shared" si="1162"/>
        <v>4890.84</v>
      </c>
      <c r="BC248" s="64">
        <f t="shared" si="1162"/>
        <v>2296.44</v>
      </c>
      <c r="BD248" s="64">
        <f t="shared" si="1162"/>
        <v>-28.919999999999959</v>
      </c>
      <c r="BE248" s="64">
        <f t="shared" si="1162"/>
        <v>75.019999999999982</v>
      </c>
      <c r="BF248" s="64">
        <f t="shared" si="1162"/>
        <v>978.18000000000018</v>
      </c>
      <c r="BG248" s="132">
        <f t="shared" si="1162"/>
        <v>459.29</v>
      </c>
      <c r="BH248" s="132">
        <f t="shared" si="1162"/>
        <v>492.27</v>
      </c>
      <c r="BI248" s="132">
        <f t="shared" si="1162"/>
        <v>150</v>
      </c>
      <c r="BJ248" s="132">
        <f t="shared" si="1162"/>
        <v>0</v>
      </c>
      <c r="BK248" s="132">
        <f t="shared" si="1162"/>
        <v>150</v>
      </c>
      <c r="BL248" s="132">
        <f t="shared" si="1162"/>
        <v>5354.1900000000005</v>
      </c>
      <c r="BM248" s="132">
        <f t="shared" si="1162"/>
        <v>2671.46</v>
      </c>
      <c r="BN248" s="132">
        <f t="shared" si="1162"/>
        <v>8025.6500000000005</v>
      </c>
      <c r="BO248" s="132">
        <f t="shared" si="1162"/>
        <v>5123.7299999999996</v>
      </c>
      <c r="BP248" s="132">
        <f t="shared" si="1162"/>
        <v>2596.39</v>
      </c>
      <c r="BQ248" s="64">
        <f t="shared" si="1162"/>
        <v>230.46000000000015</v>
      </c>
      <c r="BR248" s="64">
        <f t="shared" si="1162"/>
        <v>75.070000000000164</v>
      </c>
      <c r="BS248" s="64">
        <f t="shared" si="1162"/>
        <v>465.78999999999996</v>
      </c>
      <c r="BT248" s="64">
        <f t="shared" si="1162"/>
        <v>236.04</v>
      </c>
      <c r="BU248" s="64">
        <f t="shared" si="1162"/>
        <v>235.32999999999998</v>
      </c>
      <c r="BV248" s="64">
        <f t="shared" si="1162"/>
        <v>200</v>
      </c>
      <c r="BW248" s="64">
        <f t="shared" si="1162"/>
        <v>415.55</v>
      </c>
      <c r="BX248" s="64">
        <f t="shared" si="1162"/>
        <v>69.66</v>
      </c>
      <c r="BY248" s="64">
        <f t="shared" si="1162"/>
        <v>0</v>
      </c>
      <c r="BZ248" s="64">
        <f t="shared" si="1162"/>
        <v>0</v>
      </c>
      <c r="CA248" s="64">
        <f t="shared" si="1162"/>
        <v>6005.0700000000006</v>
      </c>
      <c r="CB248" s="64">
        <f t="shared" si="1162"/>
        <v>2941.12</v>
      </c>
      <c r="CC248" s="64">
        <f t="shared" si="1162"/>
        <v>6605.5899999999992</v>
      </c>
      <c r="CD248" s="132">
        <f t="shared" si="1162"/>
        <v>3382.29</v>
      </c>
      <c r="CE248" s="192">
        <f t="shared" si="1162"/>
        <v>551</v>
      </c>
      <c r="CF248" s="192">
        <f t="shared" si="1162"/>
        <v>282</v>
      </c>
      <c r="CG248" s="192">
        <f t="shared" si="1162"/>
        <v>1501.2600000000002</v>
      </c>
      <c r="CH248" s="192">
        <f t="shared" si="1162"/>
        <v>735.28</v>
      </c>
      <c r="CI248" s="192">
        <f t="shared" si="1162"/>
        <v>0</v>
      </c>
      <c r="CJ248" s="192">
        <f t="shared" si="1162"/>
        <v>0</v>
      </c>
      <c r="CK248" s="192">
        <f t="shared" si="1162"/>
        <v>1515</v>
      </c>
      <c r="CL248" s="192">
        <f t="shared" si="1162"/>
        <v>550</v>
      </c>
      <c r="CM248" s="192">
        <f t="shared" si="1162"/>
        <v>0</v>
      </c>
      <c r="CN248" s="192">
        <f t="shared" si="1162"/>
        <v>0</v>
      </c>
      <c r="CO248" s="192">
        <f t="shared" si="1162"/>
        <v>6516.1600000000008</v>
      </c>
      <c r="CP248" s="192">
        <f t="shared" si="1162"/>
        <v>2800</v>
      </c>
      <c r="CQ248" s="192">
        <f t="shared" ref="CQ248:DP248" si="1163">+CQ241+CQ242+CQ243+CQ244+CQ245+CQ246+CQ247</f>
        <v>6060</v>
      </c>
      <c r="CR248" s="192">
        <f t="shared" si="1163"/>
        <v>2200</v>
      </c>
      <c r="CS248" s="192">
        <f t="shared" si="1163"/>
        <v>6001.2900000000009</v>
      </c>
      <c r="CT248" s="192">
        <f t="shared" si="1163"/>
        <v>2200</v>
      </c>
      <c r="CU248" s="192">
        <f t="shared" si="1163"/>
        <v>6236.2900000000009</v>
      </c>
      <c r="CV248" s="192">
        <f t="shared" si="1163"/>
        <v>2800</v>
      </c>
      <c r="CW248" s="192">
        <f t="shared" si="1163"/>
        <v>1559.08</v>
      </c>
      <c r="CX248" s="192">
        <f t="shared" si="1163"/>
        <v>700</v>
      </c>
      <c r="CY248" s="192">
        <f t="shared" si="1163"/>
        <v>25</v>
      </c>
      <c r="CZ248" s="192">
        <f t="shared" si="1163"/>
        <v>40</v>
      </c>
      <c r="DA248" s="192">
        <f t="shared" si="1163"/>
        <v>3650.08</v>
      </c>
      <c r="DB248" s="192">
        <f t="shared" si="1163"/>
        <v>1572</v>
      </c>
      <c r="DC248" s="192">
        <f t="shared" si="1163"/>
        <v>3638.53</v>
      </c>
      <c r="DD248" s="192">
        <f t="shared" si="1163"/>
        <v>1560.96</v>
      </c>
      <c r="DE248" s="192">
        <f t="shared" si="1163"/>
        <v>11.549999999999955</v>
      </c>
      <c r="DF248" s="192">
        <f t="shared" si="1163"/>
        <v>11.039999999999964</v>
      </c>
      <c r="DG248" s="192">
        <f t="shared" si="1163"/>
        <v>1559.08</v>
      </c>
      <c r="DH248" s="192">
        <f t="shared" si="1163"/>
        <v>700</v>
      </c>
      <c r="DI248" s="192">
        <f t="shared" si="1163"/>
        <v>1547.53</v>
      </c>
      <c r="DJ248" s="192">
        <f t="shared" si="1163"/>
        <v>688.96</v>
      </c>
      <c r="DK248" s="104">
        <f t="shared" si="1157"/>
        <v>1336.8</v>
      </c>
      <c r="DL248" s="104">
        <f t="shared" si="1158"/>
        <v>739.04</v>
      </c>
      <c r="DM248" s="104">
        <f t="shared" si="949"/>
        <v>1038.680000000001</v>
      </c>
      <c r="DN248" s="104">
        <f t="shared" si="950"/>
        <v>539.04</v>
      </c>
      <c r="DO248" s="64">
        <f t="shared" si="1163"/>
        <v>6534.41</v>
      </c>
      <c r="DP248" s="64">
        <f t="shared" si="1163"/>
        <v>3000</v>
      </c>
      <c r="DQ248" s="64">
        <f t="shared" ref="DQ248:DR248" si="1164">+DQ241+DQ242+DQ243+DQ244+DQ245+DQ246+DQ247</f>
        <v>6959.68</v>
      </c>
      <c r="DR248" s="64">
        <f t="shared" si="1164"/>
        <v>3600</v>
      </c>
    </row>
    <row r="249" spans="1:122" ht="18.75">
      <c r="A249" s="13">
        <v>8</v>
      </c>
      <c r="B249" s="13"/>
      <c r="C249" s="14"/>
      <c r="D249" s="15" t="s">
        <v>405</v>
      </c>
      <c r="E249" s="16"/>
      <c r="F249" s="81">
        <v>1185.83</v>
      </c>
      <c r="G249" s="81">
        <v>111.77000000000002</v>
      </c>
      <c r="H249" s="81">
        <v>1185.83</v>
      </c>
      <c r="I249" s="17">
        <v>87.000000000000014</v>
      </c>
      <c r="J249" s="86">
        <v>1238</v>
      </c>
      <c r="K249" s="87"/>
      <c r="L249" s="87"/>
      <c r="M249" s="87">
        <f t="shared" si="1140"/>
        <v>1238</v>
      </c>
      <c r="N249" s="87">
        <v>0</v>
      </c>
      <c r="O249" s="87"/>
      <c r="P249" s="87"/>
      <c r="Q249" s="87">
        <f t="shared" ref="Q249:Q252" si="1165">N249+O249+P249</f>
        <v>0</v>
      </c>
      <c r="R249" s="87">
        <f t="shared" si="1142"/>
        <v>1238</v>
      </c>
      <c r="S249" s="87">
        <v>15</v>
      </c>
      <c r="V249" s="17">
        <f t="shared" ref="V249" si="1166">ROUND(H249*1.0583,2)</f>
        <v>1254.96</v>
      </c>
      <c r="W249" s="17">
        <f t="shared" ref="W249" si="1167">ROUND(I249*1.0327,2)</f>
        <v>89.84</v>
      </c>
      <c r="X249" s="108">
        <f t="shared" si="917"/>
        <v>-16.960000000000036</v>
      </c>
      <c r="Y249" s="108">
        <f t="shared" si="918"/>
        <v>-74.84</v>
      </c>
      <c r="Z249" s="108">
        <v>1238</v>
      </c>
      <c r="AA249" s="108"/>
      <c r="AB249" s="108">
        <f t="shared" si="919"/>
        <v>1238</v>
      </c>
      <c r="AC249" s="109">
        <f t="shared" si="920"/>
        <v>0</v>
      </c>
      <c r="AD249" s="108">
        <f t="shared" ref="AD249" si="1168">IF(X249&gt;0,V249,R249)</f>
        <v>1238</v>
      </c>
      <c r="AE249" s="108">
        <f>IF(Y249&gt;0,W249,S249)-10</f>
        <v>5</v>
      </c>
      <c r="AF249" s="108">
        <f t="shared" si="921"/>
        <v>13.53</v>
      </c>
      <c r="AG249" s="108">
        <f t="shared" si="922"/>
        <v>310</v>
      </c>
      <c r="AH249" s="108">
        <v>4</v>
      </c>
      <c r="AI249" s="127">
        <f t="shared" si="924"/>
        <v>103</v>
      </c>
      <c r="AJ249" s="108">
        <v>1</v>
      </c>
      <c r="AM249" s="108">
        <f t="shared" si="926"/>
        <v>309.5</v>
      </c>
      <c r="AN249" s="108">
        <f>ROUND(AE249*24.35%,2)-1.22</f>
        <v>0</v>
      </c>
      <c r="AQ249" s="108">
        <f t="shared" si="928"/>
        <v>619.5</v>
      </c>
      <c r="AR249" s="108">
        <f t="shared" si="929"/>
        <v>4</v>
      </c>
      <c r="AU249" s="108">
        <f t="shared" si="1054"/>
        <v>309.5</v>
      </c>
      <c r="AV249" s="108">
        <f>ROUND(AE249*25%,2)-1.25</f>
        <v>0</v>
      </c>
      <c r="AY249" s="108">
        <f t="shared" si="903"/>
        <v>1032</v>
      </c>
      <c r="AZ249" s="108">
        <f t="shared" si="904"/>
        <v>5</v>
      </c>
      <c r="BA249" s="108">
        <f t="shared" si="905"/>
        <v>1037</v>
      </c>
      <c r="BB249" s="139">
        <v>957.45</v>
      </c>
      <c r="BC249" s="139">
        <v>3.71</v>
      </c>
      <c r="BD249" s="139">
        <f t="shared" si="906"/>
        <v>74.549999999999955</v>
      </c>
      <c r="BE249" s="139">
        <f t="shared" si="907"/>
        <v>1.29</v>
      </c>
      <c r="BF249" s="139">
        <f t="shared" si="908"/>
        <v>191.49</v>
      </c>
      <c r="BG249" s="139">
        <f t="shared" si="909"/>
        <v>0.74</v>
      </c>
      <c r="BH249" s="108">
        <v>58.47</v>
      </c>
      <c r="BI249" s="108">
        <v>0</v>
      </c>
      <c r="BL249" s="108">
        <f t="shared" si="948"/>
        <v>1090.47</v>
      </c>
      <c r="BM249" s="108">
        <f t="shared" si="951"/>
        <v>5</v>
      </c>
      <c r="BN249" s="108">
        <f t="shared" si="952"/>
        <v>1095.47</v>
      </c>
      <c r="BO249" s="108">
        <v>1060.1500000000001</v>
      </c>
      <c r="BP249" s="127">
        <v>3.74</v>
      </c>
      <c r="BQ249" s="108">
        <f t="shared" si="953"/>
        <v>30.319999999999936</v>
      </c>
      <c r="BR249" s="108">
        <f t="shared" si="954"/>
        <v>1.2599999999999998</v>
      </c>
      <c r="BS249" s="108">
        <f t="shared" si="955"/>
        <v>96.38</v>
      </c>
      <c r="BT249" s="108">
        <f t="shared" si="956"/>
        <v>0.34</v>
      </c>
      <c r="BU249" s="108">
        <v>66.06</v>
      </c>
      <c r="BV249" s="108">
        <v>0</v>
      </c>
      <c r="BW249" s="109">
        <v>6</v>
      </c>
      <c r="BX249" s="108">
        <v>0.74</v>
      </c>
      <c r="CA249" s="108">
        <v>1162.53</v>
      </c>
      <c r="CB249" s="108">
        <v>5.74</v>
      </c>
      <c r="CC249">
        <v>1278.78</v>
      </c>
      <c r="CD249">
        <v>6.6</v>
      </c>
      <c r="CE249" s="189">
        <v>107</v>
      </c>
      <c r="CF249" s="189">
        <v>1</v>
      </c>
      <c r="CG249" s="189">
        <f t="shared" si="957"/>
        <v>290.63</v>
      </c>
      <c r="CH249" s="189">
        <f t="shared" si="958"/>
        <v>1.44</v>
      </c>
      <c r="CI249" s="150"/>
      <c r="CJ249" s="150"/>
      <c r="CK249" s="150">
        <v>340</v>
      </c>
      <c r="CL249" s="150">
        <v>1</v>
      </c>
      <c r="CM249" s="150"/>
      <c r="CN249" s="150"/>
      <c r="CO249" s="150">
        <v>1400</v>
      </c>
      <c r="CP249" s="150">
        <v>3</v>
      </c>
      <c r="CQ249" s="150">
        <f t="shared" si="959"/>
        <v>1360</v>
      </c>
      <c r="CR249" s="150">
        <f t="shared" si="960"/>
        <v>4</v>
      </c>
      <c r="CS249" s="150">
        <f t="shared" si="961"/>
        <v>1360</v>
      </c>
      <c r="CT249" s="150">
        <f t="shared" si="962"/>
        <v>3</v>
      </c>
      <c r="CU249" s="150">
        <f t="shared" ref="CU249:CU252" si="1169">IF(CQ249&lt;CS249,CQ249,CS249)</f>
        <v>1360</v>
      </c>
      <c r="CV249" s="150">
        <f>IF(CR249&lt;CT249,CR249,CT249)+64.5</f>
        <v>67.5</v>
      </c>
      <c r="CW249" s="150">
        <f>ROUND(CU249*25%,2)+100</f>
        <v>440</v>
      </c>
      <c r="CX249" s="150">
        <v>65.5</v>
      </c>
      <c r="CY249" s="150"/>
      <c r="CZ249" s="150"/>
      <c r="DA249" s="150">
        <f t="shared" si="964"/>
        <v>887</v>
      </c>
      <c r="DB249" s="150">
        <f t="shared" si="965"/>
        <v>67.5</v>
      </c>
      <c r="DC249" s="150">
        <v>721.71</v>
      </c>
      <c r="DD249" s="150">
        <v>0.63</v>
      </c>
      <c r="DE249" s="150">
        <f t="shared" si="966"/>
        <v>165.28999999999996</v>
      </c>
      <c r="DF249" s="150">
        <f t="shared" si="967"/>
        <v>66.87</v>
      </c>
      <c r="DG249" s="150">
        <f t="shared" ref="DG249:DH252" si="1170">ROUND(0.25*(MIN(CU249,DO249)),2)</f>
        <v>317.35000000000002</v>
      </c>
      <c r="DH249" s="150">
        <f t="shared" si="1170"/>
        <v>16.88</v>
      </c>
      <c r="DI249" s="150">
        <f>+DG249-DE249+47.92</f>
        <v>199.98000000000008</v>
      </c>
      <c r="DJ249" s="150">
        <f>+DH249-DF249+49.99</f>
        <v>0</v>
      </c>
      <c r="DK249" s="104">
        <f t="shared" si="1157"/>
        <v>182.42000000000002</v>
      </c>
      <c r="DL249" s="104">
        <f t="shared" si="1158"/>
        <v>42.5</v>
      </c>
      <c r="DM249" s="104">
        <f t="shared" si="949"/>
        <v>273.01999999999992</v>
      </c>
      <c r="DN249" s="104">
        <f t="shared" si="950"/>
        <v>0</v>
      </c>
      <c r="DO249" s="104">
        <v>1269.4000000000001</v>
      </c>
      <c r="DP249" s="104">
        <v>110</v>
      </c>
      <c r="DQ249" s="104">
        <v>1386</v>
      </c>
      <c r="DR249" s="104">
        <v>41</v>
      </c>
    </row>
    <row r="250" spans="1:122" ht="18.75">
      <c r="A250" s="13">
        <v>9</v>
      </c>
      <c r="B250" s="13"/>
      <c r="C250" s="14"/>
      <c r="D250" s="15" t="s">
        <v>406</v>
      </c>
      <c r="E250" s="16"/>
      <c r="F250" s="81">
        <v>289.71999999999997</v>
      </c>
      <c r="G250" s="81">
        <v>0</v>
      </c>
      <c r="H250" s="81">
        <v>238.7</v>
      </c>
      <c r="I250" s="17">
        <v>0</v>
      </c>
      <c r="J250" s="86">
        <v>230</v>
      </c>
      <c r="K250" s="87"/>
      <c r="L250" s="87"/>
      <c r="M250" s="87">
        <f t="shared" si="1140"/>
        <v>230</v>
      </c>
      <c r="N250" s="87">
        <v>7.7</v>
      </c>
      <c r="O250" s="87"/>
      <c r="P250" s="87"/>
      <c r="Q250" s="87">
        <f t="shared" si="1165"/>
        <v>7.7</v>
      </c>
      <c r="R250" s="87">
        <f t="shared" si="1142"/>
        <v>237.7</v>
      </c>
      <c r="S250" s="87"/>
      <c r="V250" s="17">
        <f t="shared" ref="V250:V252" si="1171">ROUND(H250*1.0583,2)</f>
        <v>252.62</v>
      </c>
      <c r="W250" s="17">
        <f t="shared" ref="W250:W252" si="1172">ROUND(I250*1.0327,2)</f>
        <v>0</v>
      </c>
      <c r="X250" s="108">
        <f t="shared" si="917"/>
        <v>-14.920000000000016</v>
      </c>
      <c r="Y250" s="108">
        <f t="shared" si="918"/>
        <v>0</v>
      </c>
      <c r="Z250" s="108">
        <v>230</v>
      </c>
      <c r="AA250" s="108">
        <v>7.7</v>
      </c>
      <c r="AB250" s="108">
        <f t="shared" si="919"/>
        <v>237.7</v>
      </c>
      <c r="AC250" s="109">
        <f t="shared" si="920"/>
        <v>0</v>
      </c>
      <c r="AD250" s="108">
        <f t="shared" ref="AD250:AD252" si="1173">IF(X250&gt;0,V250,R250)</f>
        <v>237.7</v>
      </c>
      <c r="AE250" s="108">
        <f t="shared" ref="AE250:AE252" si="1174">IF(Y250&gt;0,W250,S250)</f>
        <v>0</v>
      </c>
      <c r="AF250" s="108">
        <f t="shared" si="921"/>
        <v>0</v>
      </c>
      <c r="AG250" s="108">
        <f t="shared" si="922"/>
        <v>59</v>
      </c>
      <c r="AH250" s="108">
        <f t="shared" si="923"/>
        <v>0</v>
      </c>
      <c r="AI250" s="127">
        <f t="shared" si="924"/>
        <v>20</v>
      </c>
      <c r="AJ250" s="108">
        <f t="shared" si="925"/>
        <v>0</v>
      </c>
      <c r="AM250" s="108">
        <f t="shared" si="926"/>
        <v>59.43</v>
      </c>
      <c r="AN250" s="108">
        <f t="shared" si="927"/>
        <v>0</v>
      </c>
      <c r="AQ250" s="108">
        <f t="shared" si="928"/>
        <v>118.43</v>
      </c>
      <c r="AR250" s="108">
        <f t="shared" si="929"/>
        <v>0</v>
      </c>
      <c r="AU250" s="108">
        <f t="shared" si="1054"/>
        <v>59.43</v>
      </c>
      <c r="AV250" s="108">
        <f t="shared" si="1153"/>
        <v>0</v>
      </c>
      <c r="AY250" s="108">
        <f t="shared" si="903"/>
        <v>197.86</v>
      </c>
      <c r="AZ250" s="108">
        <f t="shared" si="904"/>
        <v>0</v>
      </c>
      <c r="BA250" s="108">
        <f t="shared" si="905"/>
        <v>197.86</v>
      </c>
      <c r="BB250" s="139">
        <v>197.86</v>
      </c>
      <c r="BD250" s="139">
        <f t="shared" si="906"/>
        <v>0</v>
      </c>
      <c r="BE250" s="139">
        <f t="shared" si="907"/>
        <v>0</v>
      </c>
      <c r="BF250" s="139">
        <f t="shared" si="908"/>
        <v>39.57</v>
      </c>
      <c r="BG250" s="139">
        <f t="shared" si="909"/>
        <v>0</v>
      </c>
      <c r="BH250" s="108">
        <v>19.79</v>
      </c>
      <c r="BI250" s="108">
        <v>0</v>
      </c>
      <c r="BL250" s="108">
        <f t="shared" si="948"/>
        <v>217.65</v>
      </c>
      <c r="BM250" s="108">
        <f t="shared" si="951"/>
        <v>0</v>
      </c>
      <c r="BN250" s="108">
        <f t="shared" si="952"/>
        <v>217.65</v>
      </c>
      <c r="BO250" s="108">
        <v>197.86</v>
      </c>
      <c r="BP250" s="127"/>
      <c r="BQ250" s="108">
        <f t="shared" si="953"/>
        <v>19.789999999999992</v>
      </c>
      <c r="BR250" s="108">
        <f t="shared" si="954"/>
        <v>0</v>
      </c>
      <c r="BS250" s="108">
        <f t="shared" si="955"/>
        <v>17.989999999999998</v>
      </c>
      <c r="BT250" s="108">
        <f t="shared" si="956"/>
        <v>0</v>
      </c>
      <c r="BU250" s="108">
        <v>-1.8</v>
      </c>
      <c r="BV250" s="108">
        <v>0</v>
      </c>
      <c r="BW250" s="109">
        <v>41.05</v>
      </c>
      <c r="CA250" s="108">
        <v>256.89999999999998</v>
      </c>
      <c r="CB250" s="108">
        <v>0</v>
      </c>
      <c r="CC250">
        <v>282.58999999999997</v>
      </c>
      <c r="CD250">
        <v>0</v>
      </c>
      <c r="CE250" s="189">
        <v>24</v>
      </c>
      <c r="CF250" s="189">
        <v>0</v>
      </c>
      <c r="CG250" s="189">
        <f t="shared" si="957"/>
        <v>64.23</v>
      </c>
      <c r="CH250" s="189">
        <f t="shared" si="958"/>
        <v>0</v>
      </c>
      <c r="CI250" s="150"/>
      <c r="CJ250" s="150"/>
      <c r="CK250" s="150">
        <f>75</f>
        <v>75</v>
      </c>
      <c r="CL250" s="150">
        <v>0</v>
      </c>
      <c r="CM250" s="150"/>
      <c r="CN250" s="150"/>
      <c r="CO250" s="150">
        <v>302.39999999999998</v>
      </c>
      <c r="CP250" s="150"/>
      <c r="CQ250" s="150">
        <f t="shared" si="959"/>
        <v>300</v>
      </c>
      <c r="CR250" s="150">
        <f t="shared" si="960"/>
        <v>0</v>
      </c>
      <c r="CS250" s="150">
        <f t="shared" si="961"/>
        <v>300</v>
      </c>
      <c r="CT250" s="150">
        <f t="shared" si="962"/>
        <v>0</v>
      </c>
      <c r="CU250" s="150">
        <f t="shared" si="1169"/>
        <v>300</v>
      </c>
      <c r="CV250" s="150">
        <f t="shared" ref="CV250:CV252" si="1175">IF(CR250&lt;CT250,CR250,CT250)</f>
        <v>0</v>
      </c>
      <c r="CW250" s="150">
        <f t="shared" si="963"/>
        <v>75</v>
      </c>
      <c r="CX250" s="150">
        <f t="shared" si="963"/>
        <v>0</v>
      </c>
      <c r="CY250" s="150"/>
      <c r="CZ250" s="150"/>
      <c r="DA250" s="150">
        <f t="shared" si="964"/>
        <v>174</v>
      </c>
      <c r="DB250" s="150">
        <f t="shared" si="965"/>
        <v>0</v>
      </c>
      <c r="DC250" s="150">
        <v>174</v>
      </c>
      <c r="DD250" s="150">
        <v>0</v>
      </c>
      <c r="DE250" s="150">
        <f t="shared" si="966"/>
        <v>0</v>
      </c>
      <c r="DF250" s="150">
        <f t="shared" si="967"/>
        <v>0</v>
      </c>
      <c r="DG250" s="150">
        <f t="shared" si="1170"/>
        <v>75</v>
      </c>
      <c r="DH250" s="150">
        <f t="shared" si="1170"/>
        <v>0</v>
      </c>
      <c r="DI250" s="150">
        <f>+DG250-DE250</f>
        <v>75</v>
      </c>
      <c r="DJ250" s="150">
        <f>+DH250-DF250</f>
        <v>0</v>
      </c>
      <c r="DK250" s="104">
        <f t="shared" si="1157"/>
        <v>51</v>
      </c>
      <c r="DL250" s="104">
        <f t="shared" si="1158"/>
        <v>0</v>
      </c>
      <c r="DM250" s="104">
        <f t="shared" si="949"/>
        <v>51</v>
      </c>
      <c r="DN250" s="104">
        <f t="shared" si="950"/>
        <v>0</v>
      </c>
      <c r="DO250" s="185">
        <f>9+291</f>
        <v>300</v>
      </c>
      <c r="DP250" s="104">
        <v>0</v>
      </c>
      <c r="DQ250" s="104">
        <f>334.38+13.38</f>
        <v>347.76</v>
      </c>
      <c r="DR250" s="104">
        <v>0</v>
      </c>
    </row>
    <row r="251" spans="1:122" ht="18.75">
      <c r="A251" s="13">
        <v>10</v>
      </c>
      <c r="B251" s="13"/>
      <c r="C251" s="14"/>
      <c r="D251" s="15" t="s">
        <v>407</v>
      </c>
      <c r="E251" s="16"/>
      <c r="F251" s="81">
        <v>1622.13</v>
      </c>
      <c r="G251" s="81">
        <v>0</v>
      </c>
      <c r="H251" s="81">
        <v>1697.92</v>
      </c>
      <c r="I251" s="17">
        <v>0</v>
      </c>
      <c r="J251" s="86">
        <v>1993</v>
      </c>
      <c r="K251" s="87"/>
      <c r="L251" s="87"/>
      <c r="M251" s="87">
        <f t="shared" si="1140"/>
        <v>1993</v>
      </c>
      <c r="N251" s="87">
        <v>82</v>
      </c>
      <c r="O251" s="87"/>
      <c r="P251" s="87"/>
      <c r="Q251" s="87">
        <f t="shared" si="1165"/>
        <v>82</v>
      </c>
      <c r="R251" s="87">
        <f t="shared" si="1142"/>
        <v>2075</v>
      </c>
      <c r="S251" s="87"/>
      <c r="V251" s="17">
        <f t="shared" si="1171"/>
        <v>1796.91</v>
      </c>
      <c r="W251" s="17">
        <f t="shared" si="1172"/>
        <v>0</v>
      </c>
      <c r="X251" s="108">
        <f t="shared" si="917"/>
        <v>278.08999999999992</v>
      </c>
      <c r="Y251" s="108">
        <f t="shared" si="918"/>
        <v>0</v>
      </c>
      <c r="Z251" s="108">
        <v>1736.91</v>
      </c>
      <c r="AA251" s="108">
        <v>60</v>
      </c>
      <c r="AB251" s="108">
        <f t="shared" si="919"/>
        <v>1796.91</v>
      </c>
      <c r="AC251" s="109">
        <f t="shared" si="920"/>
        <v>0</v>
      </c>
      <c r="AD251" s="108">
        <f t="shared" si="1173"/>
        <v>1796.91</v>
      </c>
      <c r="AE251" s="108">
        <f t="shared" si="1174"/>
        <v>0</v>
      </c>
      <c r="AF251" s="108">
        <f t="shared" si="921"/>
        <v>0</v>
      </c>
      <c r="AG251" s="108">
        <f t="shared" si="922"/>
        <v>449</v>
      </c>
      <c r="AH251" s="108">
        <f t="shared" si="923"/>
        <v>0</v>
      </c>
      <c r="AI251" s="127">
        <f t="shared" si="924"/>
        <v>150</v>
      </c>
      <c r="AJ251" s="108">
        <f t="shared" si="925"/>
        <v>0</v>
      </c>
      <c r="AM251" s="108">
        <f t="shared" si="926"/>
        <v>449.23</v>
      </c>
      <c r="AN251" s="108">
        <f t="shared" si="927"/>
        <v>0</v>
      </c>
      <c r="AQ251" s="108">
        <f t="shared" si="928"/>
        <v>898.23</v>
      </c>
      <c r="AR251" s="108">
        <f t="shared" si="929"/>
        <v>0</v>
      </c>
      <c r="AU251" s="108">
        <f t="shared" si="1054"/>
        <v>449.23</v>
      </c>
      <c r="AV251" s="108">
        <f t="shared" si="1153"/>
        <v>0</v>
      </c>
      <c r="AY251" s="108">
        <f t="shared" si="903"/>
        <v>1497.46</v>
      </c>
      <c r="AZ251" s="108">
        <f t="shared" si="904"/>
        <v>0</v>
      </c>
      <c r="BA251" s="108">
        <f t="shared" si="905"/>
        <v>1497.46</v>
      </c>
      <c r="BB251" s="139">
        <v>1497.46</v>
      </c>
      <c r="BD251" s="139">
        <f t="shared" si="906"/>
        <v>0</v>
      </c>
      <c r="BE251" s="139">
        <f t="shared" si="907"/>
        <v>0</v>
      </c>
      <c r="BF251" s="139">
        <f t="shared" si="908"/>
        <v>299.49</v>
      </c>
      <c r="BG251" s="139">
        <f t="shared" si="909"/>
        <v>0</v>
      </c>
      <c r="BH251" s="108">
        <v>149.72999999999999</v>
      </c>
      <c r="BI251" s="108">
        <v>0</v>
      </c>
      <c r="BL251" s="108">
        <f t="shared" si="948"/>
        <v>1647.19</v>
      </c>
      <c r="BM251" s="108">
        <f t="shared" si="951"/>
        <v>0</v>
      </c>
      <c r="BN251" s="108">
        <f t="shared" si="952"/>
        <v>1647.19</v>
      </c>
      <c r="BO251" s="108">
        <v>1647.19</v>
      </c>
      <c r="BP251" s="127"/>
      <c r="BQ251" s="108">
        <f t="shared" si="953"/>
        <v>0</v>
      </c>
      <c r="BR251" s="108">
        <f t="shared" si="954"/>
        <v>0</v>
      </c>
      <c r="BS251" s="108">
        <f t="shared" si="955"/>
        <v>149.74</v>
      </c>
      <c r="BT251" s="108">
        <f t="shared" si="956"/>
        <v>0</v>
      </c>
      <c r="BU251" s="109">
        <f>BS251-BQ251+100</f>
        <v>249.74</v>
      </c>
      <c r="BV251" s="108">
        <v>0</v>
      </c>
      <c r="BW251" s="109">
        <v>128.27000000000001</v>
      </c>
      <c r="CA251" s="108">
        <v>2025.2</v>
      </c>
      <c r="CB251" s="108">
        <v>0</v>
      </c>
      <c r="CC251">
        <v>2227.7199999999998</v>
      </c>
      <c r="CD251">
        <v>0</v>
      </c>
      <c r="CE251" s="189">
        <v>186</v>
      </c>
      <c r="CF251" s="189">
        <v>0</v>
      </c>
      <c r="CG251" s="189">
        <f t="shared" si="957"/>
        <v>506.3</v>
      </c>
      <c r="CH251" s="189">
        <f t="shared" si="958"/>
        <v>0</v>
      </c>
      <c r="CI251" s="150"/>
      <c r="CJ251" s="150"/>
      <c r="CK251" s="150">
        <f>582.25-30</f>
        <v>552.25</v>
      </c>
      <c r="CL251" s="150">
        <v>0</v>
      </c>
      <c r="CM251" s="150"/>
      <c r="CN251" s="150"/>
      <c r="CO251" s="150">
        <v>3338.2400000000002</v>
      </c>
      <c r="CP251" s="150"/>
      <c r="CQ251" s="150">
        <f t="shared" si="959"/>
        <v>2209</v>
      </c>
      <c r="CR251" s="150">
        <f t="shared" si="960"/>
        <v>0</v>
      </c>
      <c r="CS251" s="150">
        <f t="shared" si="961"/>
        <v>2209</v>
      </c>
      <c r="CT251" s="150">
        <f t="shared" si="962"/>
        <v>0</v>
      </c>
      <c r="CU251" s="150">
        <f t="shared" si="1169"/>
        <v>2209</v>
      </c>
      <c r="CV251" s="150">
        <f t="shared" si="1175"/>
        <v>0</v>
      </c>
      <c r="CW251" s="150">
        <f t="shared" si="963"/>
        <v>552.25</v>
      </c>
      <c r="CX251" s="150">
        <f t="shared" si="963"/>
        <v>0</v>
      </c>
      <c r="CY251" s="150"/>
      <c r="CZ251" s="150"/>
      <c r="DA251" s="150">
        <f t="shared" si="964"/>
        <v>1290.5</v>
      </c>
      <c r="DB251" s="150">
        <f t="shared" si="965"/>
        <v>0</v>
      </c>
      <c r="DC251" s="150">
        <v>1290.5</v>
      </c>
      <c r="DD251" s="150">
        <v>0</v>
      </c>
      <c r="DE251" s="150">
        <f t="shared" si="966"/>
        <v>0</v>
      </c>
      <c r="DF251" s="150">
        <f t="shared" si="967"/>
        <v>0</v>
      </c>
      <c r="DG251" s="150">
        <f t="shared" si="1170"/>
        <v>552.25</v>
      </c>
      <c r="DH251" s="150">
        <f t="shared" si="1170"/>
        <v>0</v>
      </c>
      <c r="DI251" s="150">
        <f>+DG251-DE251-93</f>
        <v>459.25</v>
      </c>
      <c r="DJ251" s="150">
        <f>+DH251-DF251</f>
        <v>0</v>
      </c>
      <c r="DK251" s="104">
        <f t="shared" si="1157"/>
        <v>459.25</v>
      </c>
      <c r="DL251" s="104">
        <f t="shared" si="1158"/>
        <v>0</v>
      </c>
      <c r="DM251" s="104">
        <f t="shared" si="949"/>
        <v>459.25</v>
      </c>
      <c r="DN251" s="104">
        <f t="shared" si="950"/>
        <v>0</v>
      </c>
      <c r="DO251" s="104">
        <f>1904+305</f>
        <v>2209</v>
      </c>
      <c r="DP251" s="104">
        <v>0</v>
      </c>
      <c r="DQ251" s="104">
        <f>420.8+3278.87</f>
        <v>3699.67</v>
      </c>
      <c r="DR251" s="104">
        <v>0</v>
      </c>
    </row>
    <row r="252" spans="1:122" ht="18.75">
      <c r="A252" s="13">
        <v>11</v>
      </c>
      <c r="B252" s="13"/>
      <c r="C252" s="14"/>
      <c r="D252" s="15" t="s">
        <v>408</v>
      </c>
      <c r="E252" s="16"/>
      <c r="F252" s="81">
        <v>0</v>
      </c>
      <c r="G252" s="81">
        <v>0</v>
      </c>
      <c r="H252" s="81">
        <v>0</v>
      </c>
      <c r="I252" s="17">
        <v>0</v>
      </c>
      <c r="J252" s="86">
        <v>0</v>
      </c>
      <c r="K252" s="87"/>
      <c r="L252" s="87"/>
      <c r="M252" s="87">
        <f t="shared" si="1140"/>
        <v>0</v>
      </c>
      <c r="N252" s="87">
        <v>0</v>
      </c>
      <c r="O252" s="87"/>
      <c r="P252" s="87"/>
      <c r="Q252" s="87">
        <f t="shared" si="1165"/>
        <v>0</v>
      </c>
      <c r="R252" s="87">
        <f t="shared" si="1142"/>
        <v>0</v>
      </c>
      <c r="S252" s="87"/>
      <c r="V252" s="17">
        <f t="shared" si="1171"/>
        <v>0</v>
      </c>
      <c r="W252" s="17">
        <f t="shared" si="1172"/>
        <v>0</v>
      </c>
      <c r="X252" s="108">
        <f t="shared" si="917"/>
        <v>0</v>
      </c>
      <c r="Y252" s="108">
        <f t="shared" si="918"/>
        <v>0</v>
      </c>
      <c r="Z252" s="108"/>
      <c r="AA252" s="108"/>
      <c r="AB252" s="108">
        <f t="shared" si="919"/>
        <v>0</v>
      </c>
      <c r="AC252" s="109">
        <f t="shared" si="920"/>
        <v>0</v>
      </c>
      <c r="AD252" s="108">
        <f t="shared" si="1173"/>
        <v>0</v>
      </c>
      <c r="AE252" s="108">
        <f t="shared" si="1174"/>
        <v>0</v>
      </c>
      <c r="AF252" s="108">
        <f t="shared" si="921"/>
        <v>0</v>
      </c>
      <c r="AG252" s="108">
        <f t="shared" si="922"/>
        <v>0</v>
      </c>
      <c r="AH252" s="108">
        <f t="shared" si="923"/>
        <v>0</v>
      </c>
      <c r="AI252" s="127">
        <f t="shared" si="924"/>
        <v>0</v>
      </c>
      <c r="AJ252" s="108">
        <f t="shared" si="925"/>
        <v>0</v>
      </c>
      <c r="AM252" s="108">
        <f t="shared" si="926"/>
        <v>0</v>
      </c>
      <c r="AN252" s="108">
        <f t="shared" si="927"/>
        <v>0</v>
      </c>
      <c r="AQ252" s="108">
        <f t="shared" si="928"/>
        <v>0</v>
      </c>
      <c r="AR252" s="108">
        <f t="shared" si="929"/>
        <v>0</v>
      </c>
      <c r="AU252" s="108">
        <f t="shared" si="1054"/>
        <v>0</v>
      </c>
      <c r="AV252" s="108">
        <f t="shared" si="1153"/>
        <v>0</v>
      </c>
      <c r="AY252" s="108">
        <f t="shared" si="903"/>
        <v>0</v>
      </c>
      <c r="AZ252" s="108">
        <f t="shared" si="904"/>
        <v>0</v>
      </c>
      <c r="BA252" s="108">
        <f t="shared" si="905"/>
        <v>0</v>
      </c>
      <c r="BB252" s="139">
        <v>0</v>
      </c>
      <c r="BD252" s="139">
        <f t="shared" si="906"/>
        <v>0</v>
      </c>
      <c r="BE252" s="139">
        <f t="shared" si="907"/>
        <v>0</v>
      </c>
      <c r="BF252" s="139">
        <f t="shared" si="908"/>
        <v>0</v>
      </c>
      <c r="BG252" s="139">
        <f t="shared" si="909"/>
        <v>0</v>
      </c>
      <c r="BH252" s="108">
        <v>0</v>
      </c>
      <c r="BI252" s="108">
        <v>0</v>
      </c>
      <c r="BL252" s="108">
        <f t="shared" si="948"/>
        <v>0</v>
      </c>
      <c r="BM252" s="108">
        <f t="shared" si="951"/>
        <v>0</v>
      </c>
      <c r="BN252" s="108">
        <f t="shared" si="952"/>
        <v>0</v>
      </c>
      <c r="BO252" s="108">
        <v>0</v>
      </c>
      <c r="BP252" s="127"/>
      <c r="BQ252" s="108">
        <f t="shared" si="953"/>
        <v>0</v>
      </c>
      <c r="BR252" s="108">
        <f t="shared" si="954"/>
        <v>0</v>
      </c>
      <c r="BS252" s="108">
        <f t="shared" si="955"/>
        <v>0</v>
      </c>
      <c r="BT252" s="108">
        <f t="shared" si="956"/>
        <v>0</v>
      </c>
      <c r="BU252" s="108">
        <f t="shared" si="987"/>
        <v>0</v>
      </c>
      <c r="BV252" s="108">
        <v>0</v>
      </c>
      <c r="CA252" s="108">
        <v>0</v>
      </c>
      <c r="CB252" s="108">
        <v>0</v>
      </c>
      <c r="CC252">
        <v>0</v>
      </c>
      <c r="CD252">
        <v>0</v>
      </c>
      <c r="CE252" s="189">
        <v>0</v>
      </c>
      <c r="CF252" s="189">
        <v>0</v>
      </c>
      <c r="CG252" s="189">
        <f t="shared" si="957"/>
        <v>0</v>
      </c>
      <c r="CH252" s="189">
        <f t="shared" si="958"/>
        <v>0</v>
      </c>
      <c r="CI252" s="150"/>
      <c r="CJ252" s="150"/>
      <c r="CK252" s="150">
        <v>0</v>
      </c>
      <c r="CL252" s="150">
        <v>0</v>
      </c>
      <c r="CM252" s="150"/>
      <c r="CN252" s="150"/>
      <c r="CO252" s="150"/>
      <c r="CP252" s="150"/>
      <c r="CQ252" s="150">
        <f t="shared" si="959"/>
        <v>0</v>
      </c>
      <c r="CR252" s="150">
        <f t="shared" si="960"/>
        <v>0</v>
      </c>
      <c r="CS252" s="150">
        <f t="shared" si="961"/>
        <v>0</v>
      </c>
      <c r="CT252" s="150">
        <f t="shared" si="962"/>
        <v>0</v>
      </c>
      <c r="CU252" s="150">
        <f t="shared" si="1169"/>
        <v>0</v>
      </c>
      <c r="CV252" s="150">
        <f t="shared" si="1175"/>
        <v>0</v>
      </c>
      <c r="CW252" s="150">
        <f t="shared" si="963"/>
        <v>0</v>
      </c>
      <c r="CX252" s="150">
        <f t="shared" si="963"/>
        <v>0</v>
      </c>
      <c r="CY252" s="150"/>
      <c r="CZ252" s="150"/>
      <c r="DA252" s="150">
        <f t="shared" si="964"/>
        <v>0</v>
      </c>
      <c r="DB252" s="150">
        <f t="shared" si="965"/>
        <v>0</v>
      </c>
      <c r="DC252" s="150">
        <v>0</v>
      </c>
      <c r="DD252" s="150">
        <v>0</v>
      </c>
      <c r="DE252" s="150">
        <f t="shared" si="966"/>
        <v>0</v>
      </c>
      <c r="DF252" s="150">
        <f t="shared" si="967"/>
        <v>0</v>
      </c>
      <c r="DG252" s="150">
        <f t="shared" si="1170"/>
        <v>0</v>
      </c>
      <c r="DH252" s="150">
        <f t="shared" si="1170"/>
        <v>0</v>
      </c>
      <c r="DI252" s="150">
        <f>+DG252-DE252</f>
        <v>0</v>
      </c>
      <c r="DJ252" s="150">
        <f>+DH252-DF252</f>
        <v>0</v>
      </c>
      <c r="DK252" s="104">
        <f t="shared" si="1157"/>
        <v>0</v>
      </c>
      <c r="DL252" s="104">
        <f t="shared" si="1158"/>
        <v>0</v>
      </c>
      <c r="DM252" s="104">
        <f t="shared" si="949"/>
        <v>0</v>
      </c>
      <c r="DN252" s="104">
        <f t="shared" si="950"/>
        <v>0</v>
      </c>
      <c r="DO252" s="104">
        <v>0</v>
      </c>
      <c r="DP252" s="104">
        <v>0</v>
      </c>
      <c r="DQ252" s="104">
        <v>0</v>
      </c>
      <c r="DR252" s="104">
        <v>0</v>
      </c>
    </row>
    <row r="253" spans="1:122" ht="18.75">
      <c r="A253" s="23">
        <f>SRC10</f>
        <v>0</v>
      </c>
      <c r="B253" s="23" t="s">
        <v>409</v>
      </c>
      <c r="C253" s="24" t="s">
        <v>104</v>
      </c>
      <c r="D253" s="25" t="s">
        <v>405</v>
      </c>
      <c r="E253" s="26" t="s">
        <v>410</v>
      </c>
      <c r="F253" s="64">
        <v>3097.6800000000003</v>
      </c>
      <c r="G253" s="64">
        <v>111.77000000000002</v>
      </c>
      <c r="H253" s="64">
        <v>3122.45</v>
      </c>
      <c r="I253" s="64">
        <v>87.000000000000014</v>
      </c>
      <c r="J253" s="96">
        <f t="shared" ref="J253:AA253" si="1176">+J249+J250+J251+J252</f>
        <v>3461</v>
      </c>
      <c r="K253" s="96">
        <f t="shared" si="1176"/>
        <v>0</v>
      </c>
      <c r="L253" s="96">
        <f t="shared" si="1176"/>
        <v>0</v>
      </c>
      <c r="M253" s="96">
        <f t="shared" si="1176"/>
        <v>3461</v>
      </c>
      <c r="N253" s="96">
        <f t="shared" si="1176"/>
        <v>89.7</v>
      </c>
      <c r="O253" s="96">
        <f t="shared" si="1176"/>
        <v>0</v>
      </c>
      <c r="P253" s="96">
        <f t="shared" si="1176"/>
        <v>0</v>
      </c>
      <c r="Q253" s="96">
        <f t="shared" si="1176"/>
        <v>89.7</v>
      </c>
      <c r="R253" s="96">
        <f t="shared" si="1176"/>
        <v>3550.7</v>
      </c>
      <c r="S253" s="96">
        <f t="shared" si="1176"/>
        <v>15</v>
      </c>
      <c r="T253" s="96">
        <f t="shared" si="1176"/>
        <v>0</v>
      </c>
      <c r="U253" s="96">
        <f t="shared" si="1176"/>
        <v>0</v>
      </c>
      <c r="V253" s="96">
        <f t="shared" si="1176"/>
        <v>3304.49</v>
      </c>
      <c r="W253" s="96">
        <f t="shared" si="1176"/>
        <v>89.84</v>
      </c>
      <c r="X253" s="96">
        <f t="shared" si="1176"/>
        <v>246.20999999999987</v>
      </c>
      <c r="Y253" s="96">
        <f t="shared" si="1176"/>
        <v>-74.84</v>
      </c>
      <c r="Z253" s="96">
        <f t="shared" si="1176"/>
        <v>3204.91</v>
      </c>
      <c r="AA253" s="96">
        <f t="shared" si="1176"/>
        <v>67.7</v>
      </c>
      <c r="AB253" s="64">
        <f t="shared" si="919"/>
        <v>3272.6099999999997</v>
      </c>
      <c r="AC253" s="109">
        <f t="shared" si="920"/>
        <v>0</v>
      </c>
      <c r="AD253" s="64">
        <f t="shared" ref="AD253:CQ253" si="1177">+AD249+AD250+AD251+AD252</f>
        <v>3272.61</v>
      </c>
      <c r="AE253" s="64">
        <f t="shared" si="1177"/>
        <v>5</v>
      </c>
      <c r="AF253" s="64">
        <f t="shared" si="1177"/>
        <v>13.53</v>
      </c>
      <c r="AG253" s="64">
        <f t="shared" si="1177"/>
        <v>818</v>
      </c>
      <c r="AH253" s="64">
        <f t="shared" si="1177"/>
        <v>4</v>
      </c>
      <c r="AI253" s="132">
        <f t="shared" si="1177"/>
        <v>273</v>
      </c>
      <c r="AJ253" s="64">
        <f t="shared" si="1177"/>
        <v>1</v>
      </c>
      <c r="AK253" s="64">
        <f t="shared" si="1177"/>
        <v>0</v>
      </c>
      <c r="AL253" s="64">
        <f t="shared" si="1177"/>
        <v>0</v>
      </c>
      <c r="AM253" s="64">
        <f t="shared" si="1177"/>
        <v>818.16000000000008</v>
      </c>
      <c r="AN253" s="64">
        <f t="shared" si="1177"/>
        <v>0</v>
      </c>
      <c r="AO253" s="64">
        <f t="shared" si="1177"/>
        <v>0</v>
      </c>
      <c r="AP253" s="64">
        <f t="shared" si="1177"/>
        <v>0</v>
      </c>
      <c r="AQ253" s="64">
        <f t="shared" si="1177"/>
        <v>1636.16</v>
      </c>
      <c r="AR253" s="64">
        <f t="shared" si="1177"/>
        <v>4</v>
      </c>
      <c r="AS253" s="64">
        <f t="shared" si="1177"/>
        <v>0</v>
      </c>
      <c r="AT253" s="64">
        <f t="shared" si="1177"/>
        <v>0</v>
      </c>
      <c r="AU253" s="64">
        <f t="shared" si="1177"/>
        <v>818.16000000000008</v>
      </c>
      <c r="AV253" s="64">
        <f t="shared" si="1177"/>
        <v>0</v>
      </c>
      <c r="AW253" s="64">
        <f t="shared" si="1177"/>
        <v>0</v>
      </c>
      <c r="AX253" s="64">
        <f t="shared" si="1177"/>
        <v>0</v>
      </c>
      <c r="AY253" s="64">
        <f t="shared" si="1177"/>
        <v>2727.32</v>
      </c>
      <c r="AZ253" s="64">
        <f t="shared" si="1177"/>
        <v>5</v>
      </c>
      <c r="BA253" s="64">
        <f t="shared" si="1177"/>
        <v>2732.32</v>
      </c>
      <c r="BB253" s="64">
        <f t="shared" si="1177"/>
        <v>2652.77</v>
      </c>
      <c r="BC253" s="64">
        <f t="shared" si="1177"/>
        <v>3.71</v>
      </c>
      <c r="BD253" s="64">
        <f t="shared" si="1177"/>
        <v>74.549999999999955</v>
      </c>
      <c r="BE253" s="64">
        <f t="shared" si="1177"/>
        <v>1.29</v>
      </c>
      <c r="BF253" s="64">
        <f t="shared" si="1177"/>
        <v>530.54999999999995</v>
      </c>
      <c r="BG253" s="132">
        <f t="shared" si="1177"/>
        <v>0.74</v>
      </c>
      <c r="BH253" s="132">
        <f t="shared" si="1177"/>
        <v>227.98999999999998</v>
      </c>
      <c r="BI253" s="132">
        <f t="shared" si="1177"/>
        <v>0</v>
      </c>
      <c r="BJ253" s="132">
        <f t="shared" si="1177"/>
        <v>0</v>
      </c>
      <c r="BK253" s="132">
        <f t="shared" si="1177"/>
        <v>0</v>
      </c>
      <c r="BL253" s="132">
        <f t="shared" si="1177"/>
        <v>2955.3100000000004</v>
      </c>
      <c r="BM253" s="132">
        <f t="shared" si="1177"/>
        <v>5</v>
      </c>
      <c r="BN253" s="132">
        <f t="shared" si="1177"/>
        <v>2960.3100000000004</v>
      </c>
      <c r="BO253" s="132">
        <f t="shared" si="1177"/>
        <v>2905.2000000000003</v>
      </c>
      <c r="BP253" s="132">
        <f t="shared" si="1177"/>
        <v>3.74</v>
      </c>
      <c r="BQ253" s="64">
        <f t="shared" si="1177"/>
        <v>50.109999999999928</v>
      </c>
      <c r="BR253" s="64">
        <f t="shared" si="1177"/>
        <v>1.2599999999999998</v>
      </c>
      <c r="BS253" s="64">
        <f t="shared" si="1177"/>
        <v>264.11</v>
      </c>
      <c r="BT253" s="64">
        <f t="shared" si="1177"/>
        <v>0.34</v>
      </c>
      <c r="BU253" s="64">
        <f t="shared" si="1177"/>
        <v>314</v>
      </c>
      <c r="BV253" s="64">
        <f t="shared" si="1177"/>
        <v>0</v>
      </c>
      <c r="BW253" s="64">
        <f t="shared" si="1177"/>
        <v>175.32</v>
      </c>
      <c r="BX253" s="64">
        <f t="shared" si="1177"/>
        <v>0.74</v>
      </c>
      <c r="BY253" s="64">
        <f t="shared" si="1177"/>
        <v>0</v>
      </c>
      <c r="BZ253" s="64">
        <f t="shared" si="1177"/>
        <v>0</v>
      </c>
      <c r="CA253" s="64">
        <f t="shared" si="1177"/>
        <v>3444.63</v>
      </c>
      <c r="CB253" s="64">
        <f t="shared" si="1177"/>
        <v>5.74</v>
      </c>
      <c r="CC253" s="64">
        <f t="shared" si="1177"/>
        <v>3789.0899999999997</v>
      </c>
      <c r="CD253" s="132">
        <f t="shared" si="1177"/>
        <v>6.6</v>
      </c>
      <c r="CE253" s="192">
        <f t="shared" si="1177"/>
        <v>317</v>
      </c>
      <c r="CF253" s="192">
        <f t="shared" si="1177"/>
        <v>1</v>
      </c>
      <c r="CG253" s="192">
        <f t="shared" si="1177"/>
        <v>861.16000000000008</v>
      </c>
      <c r="CH253" s="192">
        <f t="shared" si="1177"/>
        <v>1.44</v>
      </c>
      <c r="CI253" s="192">
        <f t="shared" si="1177"/>
        <v>0</v>
      </c>
      <c r="CJ253" s="192">
        <f t="shared" si="1177"/>
        <v>0</v>
      </c>
      <c r="CK253" s="192">
        <f t="shared" si="1177"/>
        <v>967.25</v>
      </c>
      <c r="CL253" s="192">
        <f t="shared" si="1177"/>
        <v>1</v>
      </c>
      <c r="CM253" s="192">
        <f t="shared" si="1177"/>
        <v>0</v>
      </c>
      <c r="CN253" s="192">
        <f t="shared" si="1177"/>
        <v>0</v>
      </c>
      <c r="CO253" s="192">
        <f t="shared" si="1177"/>
        <v>5040.6400000000003</v>
      </c>
      <c r="CP253" s="192">
        <f t="shared" si="1177"/>
        <v>3</v>
      </c>
      <c r="CQ253" s="192">
        <f t="shared" si="1177"/>
        <v>3869</v>
      </c>
      <c r="CR253" s="192">
        <f t="shared" ref="CR253:DO253" si="1178">+CR249+CR250+CR251+CR252</f>
        <v>4</v>
      </c>
      <c r="CS253" s="192">
        <f t="shared" si="1178"/>
        <v>3869</v>
      </c>
      <c r="CT253" s="192">
        <f t="shared" si="1178"/>
        <v>3</v>
      </c>
      <c r="CU253" s="192">
        <f t="shared" si="1178"/>
        <v>3869</v>
      </c>
      <c r="CV253" s="192">
        <f t="shared" si="1178"/>
        <v>67.5</v>
      </c>
      <c r="CW253" s="192">
        <f t="shared" si="1178"/>
        <v>1067.25</v>
      </c>
      <c r="CX253" s="192">
        <f t="shared" si="1178"/>
        <v>65.5</v>
      </c>
      <c r="CY253" s="192">
        <f t="shared" si="1178"/>
        <v>0</v>
      </c>
      <c r="CZ253" s="192">
        <f t="shared" si="1178"/>
        <v>0</v>
      </c>
      <c r="DA253" s="192">
        <f t="shared" si="1178"/>
        <v>2351.5</v>
      </c>
      <c r="DB253" s="192">
        <f t="shared" si="1178"/>
        <v>67.5</v>
      </c>
      <c r="DC253" s="192">
        <f t="shared" si="1178"/>
        <v>2186.21</v>
      </c>
      <c r="DD253" s="192">
        <f t="shared" si="1178"/>
        <v>0.63</v>
      </c>
      <c r="DE253" s="192">
        <f t="shared" si="1178"/>
        <v>165.28999999999996</v>
      </c>
      <c r="DF253" s="192">
        <f t="shared" si="1178"/>
        <v>66.87</v>
      </c>
      <c r="DG253" s="192">
        <f t="shared" si="1178"/>
        <v>944.6</v>
      </c>
      <c r="DH253" s="192">
        <f t="shared" si="1178"/>
        <v>16.88</v>
      </c>
      <c r="DI253" s="192">
        <f t="shared" si="1178"/>
        <v>734.23</v>
      </c>
      <c r="DJ253" s="192">
        <f t="shared" si="1178"/>
        <v>0</v>
      </c>
      <c r="DK253" s="104">
        <f t="shared" si="1157"/>
        <v>692.67000000000007</v>
      </c>
      <c r="DL253" s="104">
        <f t="shared" si="1158"/>
        <v>42.5</v>
      </c>
      <c r="DM253" s="104">
        <f t="shared" si="949"/>
        <v>783.27</v>
      </c>
      <c r="DN253" s="104">
        <f t="shared" si="950"/>
        <v>0</v>
      </c>
      <c r="DO253" s="64">
        <f t="shared" si="1178"/>
        <v>3778.4</v>
      </c>
      <c r="DP253" s="64">
        <f t="shared" ref="DP253:DR253" si="1179">+DP249+DP250+DP251+DP252</f>
        <v>110</v>
      </c>
      <c r="DQ253" s="64">
        <f t="shared" si="1179"/>
        <v>5433.43</v>
      </c>
      <c r="DR253" s="64">
        <f t="shared" si="1179"/>
        <v>41</v>
      </c>
    </row>
    <row r="254" spans="1:122" ht="18.75">
      <c r="A254" s="13">
        <v>13</v>
      </c>
      <c r="B254" s="13"/>
      <c r="C254" s="14"/>
      <c r="D254" s="15" t="s">
        <v>411</v>
      </c>
      <c r="E254" s="16"/>
      <c r="F254" s="81">
        <v>1865.8600000000001</v>
      </c>
      <c r="G254" s="81">
        <v>460.61000000000007</v>
      </c>
      <c r="H254" s="81">
        <v>1865.8600000000001</v>
      </c>
      <c r="I254" s="17">
        <v>390.61000000000007</v>
      </c>
      <c r="J254" s="86">
        <v>2000</v>
      </c>
      <c r="K254" s="87"/>
      <c r="L254" s="87">
        <v>0.3</v>
      </c>
      <c r="M254" s="87">
        <f t="shared" si="1140"/>
        <v>2000.3</v>
      </c>
      <c r="N254" s="87"/>
      <c r="O254" s="87"/>
      <c r="P254" s="87"/>
      <c r="Q254" s="87">
        <f t="shared" ref="Q254:Q255" si="1180">N254+O254+P254</f>
        <v>0</v>
      </c>
      <c r="R254" s="87">
        <f t="shared" si="1142"/>
        <v>2000.3</v>
      </c>
      <c r="S254" s="87">
        <v>240</v>
      </c>
      <c r="V254" s="17">
        <f t="shared" ref="V254" si="1181">ROUND(H254*1.0583,2)</f>
        <v>1974.64</v>
      </c>
      <c r="W254" s="17">
        <f t="shared" ref="W254" si="1182">ROUND(I254*1.0327,2)</f>
        <v>403.38</v>
      </c>
      <c r="X254" s="108">
        <f t="shared" si="917"/>
        <v>25.659999999999854</v>
      </c>
      <c r="Y254" s="108">
        <f t="shared" si="918"/>
        <v>-163.38</v>
      </c>
      <c r="Z254" s="108">
        <v>1974.64</v>
      </c>
      <c r="AA254" s="108"/>
      <c r="AB254" s="108">
        <f t="shared" si="919"/>
        <v>1974.64</v>
      </c>
      <c r="AC254" s="109">
        <f t="shared" si="920"/>
        <v>0</v>
      </c>
      <c r="AD254" s="108">
        <f t="shared" ref="AD254" si="1183">IF(X254&gt;0,V254,R254)</f>
        <v>1974.64</v>
      </c>
      <c r="AE254" s="108">
        <f t="shared" ref="AE254" si="1184">IF(Y254&gt;0,W254,S254)</f>
        <v>240</v>
      </c>
      <c r="AF254" s="108">
        <f t="shared" si="921"/>
        <v>216.53</v>
      </c>
      <c r="AG254" s="108">
        <f t="shared" si="922"/>
        <v>494</v>
      </c>
      <c r="AH254" s="108">
        <f t="shared" si="923"/>
        <v>60</v>
      </c>
      <c r="AI254" s="127">
        <f t="shared" si="924"/>
        <v>165</v>
      </c>
      <c r="AJ254" s="108">
        <f t="shared" si="925"/>
        <v>20</v>
      </c>
      <c r="AL254" s="143">
        <v>100</v>
      </c>
      <c r="AM254" s="108">
        <f t="shared" si="926"/>
        <v>493.66</v>
      </c>
      <c r="AN254" s="108">
        <f>ROUND(AE254*24.35%,2)-8.44</f>
        <v>50</v>
      </c>
      <c r="AQ254" s="108">
        <f t="shared" si="928"/>
        <v>987.66000000000008</v>
      </c>
      <c r="AR254" s="108">
        <f t="shared" si="929"/>
        <v>210</v>
      </c>
      <c r="AU254" s="108">
        <f t="shared" si="1054"/>
        <v>493.66</v>
      </c>
      <c r="AV254" s="108">
        <f>ROUND(AE254*25%,2)-60</f>
        <v>0</v>
      </c>
      <c r="AY254" s="108">
        <f t="shared" si="903"/>
        <v>1646.3200000000002</v>
      </c>
      <c r="AZ254" s="108">
        <f t="shared" si="904"/>
        <v>230</v>
      </c>
      <c r="BA254" s="108">
        <f t="shared" si="905"/>
        <v>1876.3200000000002</v>
      </c>
      <c r="BB254" s="139">
        <v>1566.73</v>
      </c>
      <c r="BC254" s="139">
        <v>222.73</v>
      </c>
      <c r="BD254" s="139">
        <f t="shared" si="906"/>
        <v>79.590000000000146</v>
      </c>
      <c r="BE254" s="139">
        <f t="shared" si="907"/>
        <v>7.2700000000000102</v>
      </c>
      <c r="BF254" s="139">
        <f t="shared" si="908"/>
        <v>313.35000000000002</v>
      </c>
      <c r="BG254" s="139">
        <f t="shared" si="909"/>
        <v>44.55</v>
      </c>
      <c r="BH254" s="143">
        <v>117.89</v>
      </c>
      <c r="BI254" s="143">
        <v>14.5</v>
      </c>
      <c r="BJ254" s="143"/>
      <c r="BK254" s="143"/>
      <c r="BL254" s="108">
        <f t="shared" si="948"/>
        <v>1764.2100000000003</v>
      </c>
      <c r="BM254" s="108">
        <f t="shared" si="951"/>
        <v>244.5</v>
      </c>
      <c r="BN254" s="108">
        <f t="shared" si="952"/>
        <v>2008.7100000000003</v>
      </c>
      <c r="BO254" s="108">
        <v>1724.84</v>
      </c>
      <c r="BP254" s="127">
        <v>228.54</v>
      </c>
      <c r="BQ254" s="108">
        <f t="shared" si="953"/>
        <v>39.370000000000346</v>
      </c>
      <c r="BR254" s="108">
        <f t="shared" si="954"/>
        <v>15.960000000000008</v>
      </c>
      <c r="BS254" s="108">
        <f t="shared" si="955"/>
        <v>156.80000000000001</v>
      </c>
      <c r="BT254" s="108">
        <f t="shared" si="956"/>
        <v>20.78</v>
      </c>
      <c r="BU254" s="143">
        <v>122.89</v>
      </c>
      <c r="BV254" s="143">
        <v>14.5</v>
      </c>
      <c r="BW254" s="143"/>
      <c r="BX254" s="143"/>
      <c r="BY254" s="143"/>
      <c r="BZ254" s="143"/>
      <c r="CA254" s="108">
        <v>1887.1000000000004</v>
      </c>
      <c r="CB254" s="108">
        <v>259</v>
      </c>
      <c r="CC254">
        <v>2075.81</v>
      </c>
      <c r="CD254">
        <v>297.85000000000002</v>
      </c>
      <c r="CE254" s="189">
        <v>173</v>
      </c>
      <c r="CF254" s="189">
        <v>25</v>
      </c>
      <c r="CG254" s="189">
        <f t="shared" si="957"/>
        <v>471.78</v>
      </c>
      <c r="CH254" s="189">
        <f t="shared" si="958"/>
        <v>64.75</v>
      </c>
      <c r="CI254" s="150"/>
      <c r="CJ254" s="150"/>
      <c r="CK254" s="150">
        <f>572.5-50</f>
        <v>522.5</v>
      </c>
      <c r="CL254" s="150">
        <f>273.7-173.7-20</f>
        <v>80</v>
      </c>
      <c r="CM254" s="150">
        <v>50</v>
      </c>
      <c r="CN254" s="150">
        <v>193.7</v>
      </c>
      <c r="CO254" s="150">
        <v>1975.1</v>
      </c>
      <c r="CP254" s="150">
        <v>615</v>
      </c>
      <c r="CQ254" s="150">
        <f t="shared" si="959"/>
        <v>2090</v>
      </c>
      <c r="CR254" s="150">
        <f t="shared" si="960"/>
        <v>320</v>
      </c>
      <c r="CS254" s="150">
        <f t="shared" si="961"/>
        <v>1975.1</v>
      </c>
      <c r="CT254" s="150">
        <f t="shared" si="962"/>
        <v>320</v>
      </c>
      <c r="CU254" s="150">
        <f t="shared" ref="CU254:CU255" si="1185">IF(CQ254&lt;CS254,CQ254,CS254)</f>
        <v>1975.1</v>
      </c>
      <c r="CV254" s="150">
        <f>IF(CR254&lt;CT254,CR254,CT254)+67.53</f>
        <v>387.53</v>
      </c>
      <c r="CW254" s="150">
        <v>493.78</v>
      </c>
      <c r="CX254" s="150">
        <v>0</v>
      </c>
      <c r="CY254" s="150"/>
      <c r="CZ254" s="150">
        <v>88.83</v>
      </c>
      <c r="DA254" s="150">
        <v>1239.28</v>
      </c>
      <c r="DB254" s="150">
        <v>387.53</v>
      </c>
      <c r="DC254" s="150">
        <v>1208.73</v>
      </c>
      <c r="DD254" s="150">
        <v>303.5</v>
      </c>
      <c r="DE254" s="150">
        <v>30.549999999999955</v>
      </c>
      <c r="DF254" s="150">
        <v>84.029999999999973</v>
      </c>
      <c r="DG254" s="150">
        <v>493.78</v>
      </c>
      <c r="DH254" s="150">
        <v>80</v>
      </c>
      <c r="DI254" s="150">
        <v>463.23</v>
      </c>
      <c r="DJ254" s="150">
        <v>2.7533531010703882E-14</v>
      </c>
      <c r="DK254" s="104">
        <f t="shared" si="1157"/>
        <v>292.58999999999992</v>
      </c>
      <c r="DL254" s="104">
        <f t="shared" si="1158"/>
        <v>227.47</v>
      </c>
      <c r="DM254" s="104">
        <f t="shared" si="949"/>
        <v>272.58999999999992</v>
      </c>
      <c r="DN254" s="178">
        <f t="shared" si="950"/>
        <v>-2.7533531010703882E-14</v>
      </c>
      <c r="DO254" s="104">
        <v>1995.1</v>
      </c>
      <c r="DP254" s="104">
        <v>615</v>
      </c>
      <c r="DQ254" s="104">
        <v>1978.1</v>
      </c>
      <c r="DR254" s="104">
        <v>320</v>
      </c>
    </row>
    <row r="255" spans="1:122" ht="18.75">
      <c r="A255" s="13">
        <v>14</v>
      </c>
      <c r="B255" s="13"/>
      <c r="C255" s="14"/>
      <c r="D255" s="15" t="s">
        <v>412</v>
      </c>
      <c r="E255" s="16"/>
      <c r="F255" s="81">
        <v>0</v>
      </c>
      <c r="G255" s="81">
        <v>0</v>
      </c>
      <c r="H255" s="81">
        <v>0</v>
      </c>
      <c r="I255" s="17">
        <v>0</v>
      </c>
      <c r="J255" s="86">
        <v>0</v>
      </c>
      <c r="K255" s="87">
        <v>0</v>
      </c>
      <c r="L255" s="87">
        <v>0</v>
      </c>
      <c r="M255" s="87">
        <f t="shared" si="1140"/>
        <v>0</v>
      </c>
      <c r="N255" s="87">
        <v>0</v>
      </c>
      <c r="O255" s="87">
        <v>0</v>
      </c>
      <c r="P255" s="87"/>
      <c r="Q255" s="87">
        <f t="shared" si="1180"/>
        <v>0</v>
      </c>
      <c r="R255" s="87">
        <f t="shared" si="1142"/>
        <v>0</v>
      </c>
      <c r="S255" s="87">
        <v>0</v>
      </c>
      <c r="V255" s="17">
        <f t="shared" ref="V255" si="1186">ROUND(H255*1.0583,2)</f>
        <v>0</v>
      </c>
      <c r="W255" s="17">
        <f t="shared" ref="W255" si="1187">ROUND(I255*1.0327,2)</f>
        <v>0</v>
      </c>
      <c r="X255" s="108">
        <f t="shared" si="917"/>
        <v>0</v>
      </c>
      <c r="Y255" s="108">
        <f t="shared" si="918"/>
        <v>0</v>
      </c>
      <c r="Z255" s="108">
        <v>0</v>
      </c>
      <c r="AA255" s="108"/>
      <c r="AB255" s="108">
        <f t="shared" si="919"/>
        <v>0</v>
      </c>
      <c r="AC255" s="109">
        <f t="shared" si="920"/>
        <v>0</v>
      </c>
      <c r="AD255" s="108">
        <f t="shared" ref="AD255" si="1188">IF(X255&gt;0,V255,R255)</f>
        <v>0</v>
      </c>
      <c r="AE255" s="108">
        <f t="shared" ref="AE255" si="1189">IF(Y255&gt;0,W255,S255)</f>
        <v>0</v>
      </c>
      <c r="AF255" s="108">
        <f t="shared" si="921"/>
        <v>0</v>
      </c>
      <c r="AG255" s="108">
        <f t="shared" si="922"/>
        <v>0</v>
      </c>
      <c r="AH255" s="108">
        <f t="shared" si="923"/>
        <v>0</v>
      </c>
      <c r="AI255" s="127">
        <f t="shared" si="924"/>
        <v>0</v>
      </c>
      <c r="AJ255" s="108">
        <f t="shared" si="925"/>
        <v>0</v>
      </c>
      <c r="AM255" s="108">
        <f t="shared" si="926"/>
        <v>0</v>
      </c>
      <c r="AN255" s="108">
        <f t="shared" si="927"/>
        <v>0</v>
      </c>
      <c r="AQ255" s="108">
        <f t="shared" si="928"/>
        <v>0</v>
      </c>
      <c r="AR255" s="108">
        <f t="shared" si="929"/>
        <v>0</v>
      </c>
      <c r="AU255" s="108">
        <f t="shared" si="1054"/>
        <v>0</v>
      </c>
      <c r="AV255" s="108">
        <f t="shared" si="1153"/>
        <v>0</v>
      </c>
      <c r="AY255" s="108">
        <f t="shared" si="903"/>
        <v>0</v>
      </c>
      <c r="AZ255" s="108">
        <f t="shared" si="904"/>
        <v>0</v>
      </c>
      <c r="BA255" s="108">
        <f t="shared" si="905"/>
        <v>0</v>
      </c>
      <c r="BB255" s="139">
        <v>0</v>
      </c>
      <c r="BD255" s="139">
        <f t="shared" si="906"/>
        <v>0</v>
      </c>
      <c r="BE255" s="139">
        <f t="shared" si="907"/>
        <v>0</v>
      </c>
      <c r="BF255" s="139">
        <f t="shared" si="908"/>
        <v>0</v>
      </c>
      <c r="BG255" s="139">
        <f t="shared" si="909"/>
        <v>0</v>
      </c>
      <c r="BH255" s="108">
        <v>0</v>
      </c>
      <c r="BI255" s="108">
        <v>0</v>
      </c>
      <c r="BL255" s="108">
        <f t="shared" si="948"/>
        <v>0</v>
      </c>
      <c r="BM255" s="108">
        <f t="shared" si="951"/>
        <v>0</v>
      </c>
      <c r="BN255" s="108">
        <f t="shared" si="952"/>
        <v>0</v>
      </c>
      <c r="BO255" s="108">
        <v>0</v>
      </c>
      <c r="BP255" s="127"/>
      <c r="BQ255" s="108">
        <f t="shared" si="953"/>
        <v>0</v>
      </c>
      <c r="BR255" s="108">
        <f t="shared" si="954"/>
        <v>0</v>
      </c>
      <c r="BS255" s="108">
        <f t="shared" si="955"/>
        <v>0</v>
      </c>
      <c r="BT255" s="108">
        <f t="shared" si="956"/>
        <v>0</v>
      </c>
      <c r="BU255" s="108">
        <f t="shared" si="987"/>
        <v>0</v>
      </c>
      <c r="BV255" s="108">
        <v>0</v>
      </c>
      <c r="CA255" s="108">
        <v>0</v>
      </c>
      <c r="CB255" s="108">
        <v>0</v>
      </c>
      <c r="CC255">
        <v>0</v>
      </c>
      <c r="CD255">
        <v>0</v>
      </c>
      <c r="CE255" s="189">
        <v>0</v>
      </c>
      <c r="CF255" s="189">
        <v>0</v>
      </c>
      <c r="CG255" s="189">
        <f t="shared" si="957"/>
        <v>0</v>
      </c>
      <c r="CH255" s="189">
        <f t="shared" si="958"/>
        <v>0</v>
      </c>
      <c r="CI255" s="150"/>
      <c r="CJ255" s="150"/>
      <c r="CK255" s="150">
        <v>0</v>
      </c>
      <c r="CL255" s="150">
        <v>0</v>
      </c>
      <c r="CM255" s="150"/>
      <c r="CN255" s="150"/>
      <c r="CO255" s="150"/>
      <c r="CP255" s="150"/>
      <c r="CQ255" s="150">
        <f t="shared" si="959"/>
        <v>0</v>
      </c>
      <c r="CR255" s="150">
        <f t="shared" si="960"/>
        <v>0</v>
      </c>
      <c r="CS255" s="150">
        <f t="shared" si="961"/>
        <v>0</v>
      </c>
      <c r="CT255" s="150">
        <f t="shared" si="962"/>
        <v>0</v>
      </c>
      <c r="CU255" s="150">
        <f t="shared" si="1185"/>
        <v>0</v>
      </c>
      <c r="CV255" s="150">
        <f t="shared" ref="CV255" si="1190">IF(CR255&lt;CT255,CR255,CT255)</f>
        <v>0</v>
      </c>
      <c r="CW255" s="150">
        <f t="shared" si="963"/>
        <v>0</v>
      </c>
      <c r="CX255" s="150">
        <f t="shared" si="963"/>
        <v>0</v>
      </c>
      <c r="CY255" s="150"/>
      <c r="CZ255" s="150"/>
      <c r="DA255" s="150">
        <f t="shared" si="964"/>
        <v>0</v>
      </c>
      <c r="DB255" s="150">
        <f t="shared" si="965"/>
        <v>0</v>
      </c>
      <c r="DC255" s="150">
        <v>0</v>
      </c>
      <c r="DD255" s="150">
        <v>0</v>
      </c>
      <c r="DE255" s="150">
        <f t="shared" si="966"/>
        <v>0</v>
      </c>
      <c r="DF255" s="150">
        <f t="shared" si="967"/>
        <v>0</v>
      </c>
      <c r="DG255" s="150">
        <f>ROUND(0.25*(MIN(CU255,DO255)),2)</f>
        <v>0</v>
      </c>
      <c r="DH255" s="150">
        <f>ROUND(0.25*(MIN(CV255,DP255)),2)</f>
        <v>0</v>
      </c>
      <c r="DI255" s="150">
        <f>+DG255-DE255</f>
        <v>0</v>
      </c>
      <c r="DJ255" s="150">
        <f>+DH255-DF255</f>
        <v>0</v>
      </c>
      <c r="DK255" s="104">
        <f t="shared" si="1157"/>
        <v>0</v>
      </c>
      <c r="DL255" s="104">
        <f t="shared" si="1158"/>
        <v>0</v>
      </c>
      <c r="DM255" s="104">
        <f t="shared" si="949"/>
        <v>0</v>
      </c>
      <c r="DN255" s="104">
        <f t="shared" si="950"/>
        <v>0</v>
      </c>
      <c r="DO255" s="104">
        <v>0</v>
      </c>
      <c r="DP255" s="104">
        <v>0</v>
      </c>
      <c r="DQ255" s="104">
        <v>0</v>
      </c>
      <c r="DR255" s="104">
        <v>0</v>
      </c>
    </row>
    <row r="256" spans="1:122" ht="18.75">
      <c r="A256" s="23"/>
      <c r="B256" s="23" t="s">
        <v>413</v>
      </c>
      <c r="C256" s="24" t="s">
        <v>13</v>
      </c>
      <c r="D256" s="25" t="s">
        <v>411</v>
      </c>
      <c r="E256" s="26" t="s">
        <v>414</v>
      </c>
      <c r="F256" s="64">
        <v>1865.8600000000001</v>
      </c>
      <c r="G256" s="64">
        <v>460.61000000000007</v>
      </c>
      <c r="H256" s="64">
        <v>1865.8600000000001</v>
      </c>
      <c r="I256" s="64">
        <v>390.61000000000007</v>
      </c>
      <c r="J256" s="96">
        <f t="shared" ref="J256:AA256" si="1191">+J254+J255</f>
        <v>2000</v>
      </c>
      <c r="K256" s="96">
        <f t="shared" si="1191"/>
        <v>0</v>
      </c>
      <c r="L256" s="96">
        <f t="shared" si="1191"/>
        <v>0.3</v>
      </c>
      <c r="M256" s="96">
        <f t="shared" si="1191"/>
        <v>2000.3</v>
      </c>
      <c r="N256" s="96">
        <f t="shared" si="1191"/>
        <v>0</v>
      </c>
      <c r="O256" s="96">
        <f t="shared" si="1191"/>
        <v>0</v>
      </c>
      <c r="P256" s="96">
        <f t="shared" si="1191"/>
        <v>0</v>
      </c>
      <c r="Q256" s="96">
        <f t="shared" si="1191"/>
        <v>0</v>
      </c>
      <c r="R256" s="96">
        <f t="shared" si="1191"/>
        <v>2000.3</v>
      </c>
      <c r="S256" s="96">
        <f t="shared" si="1191"/>
        <v>240</v>
      </c>
      <c r="T256" s="96">
        <f t="shared" si="1191"/>
        <v>0</v>
      </c>
      <c r="U256" s="96">
        <f t="shared" si="1191"/>
        <v>0</v>
      </c>
      <c r="V256" s="96">
        <f t="shared" si="1191"/>
        <v>1974.64</v>
      </c>
      <c r="W256" s="96">
        <f t="shared" si="1191"/>
        <v>403.38</v>
      </c>
      <c r="X256" s="96">
        <f t="shared" si="1191"/>
        <v>25.659999999999854</v>
      </c>
      <c r="Y256" s="96">
        <f t="shared" si="1191"/>
        <v>-163.38</v>
      </c>
      <c r="Z256" s="96">
        <f t="shared" si="1191"/>
        <v>1974.64</v>
      </c>
      <c r="AA256" s="96">
        <f t="shared" si="1191"/>
        <v>0</v>
      </c>
      <c r="AB256" s="64">
        <f t="shared" si="919"/>
        <v>1974.64</v>
      </c>
      <c r="AC256" s="109">
        <f t="shared" si="920"/>
        <v>0</v>
      </c>
      <c r="AD256" s="64">
        <f t="shared" ref="AD256:BY256" si="1192">+AD254+AD255</f>
        <v>1974.64</v>
      </c>
      <c r="AE256" s="64">
        <f t="shared" si="1192"/>
        <v>240</v>
      </c>
      <c r="AF256" s="64">
        <f t="shared" si="1192"/>
        <v>216.53</v>
      </c>
      <c r="AG256" s="64">
        <f t="shared" si="1192"/>
        <v>494</v>
      </c>
      <c r="AH256" s="64">
        <f t="shared" si="1192"/>
        <v>60</v>
      </c>
      <c r="AI256" s="132">
        <f t="shared" si="1192"/>
        <v>165</v>
      </c>
      <c r="AJ256" s="64">
        <f t="shared" si="1192"/>
        <v>20</v>
      </c>
      <c r="AK256" s="64">
        <f t="shared" si="1192"/>
        <v>0</v>
      </c>
      <c r="AL256" s="64">
        <f t="shared" si="1192"/>
        <v>100</v>
      </c>
      <c r="AM256" s="64">
        <f t="shared" si="1192"/>
        <v>493.66</v>
      </c>
      <c r="AN256" s="64">
        <f t="shared" si="1192"/>
        <v>50</v>
      </c>
      <c r="AO256" s="64">
        <f t="shared" si="1192"/>
        <v>0</v>
      </c>
      <c r="AP256" s="64">
        <f t="shared" si="1192"/>
        <v>0</v>
      </c>
      <c r="AQ256" s="64">
        <f t="shared" si="1192"/>
        <v>987.66000000000008</v>
      </c>
      <c r="AR256" s="64">
        <f t="shared" si="1192"/>
        <v>210</v>
      </c>
      <c r="AS256" s="64">
        <f t="shared" si="1192"/>
        <v>0</v>
      </c>
      <c r="AT256" s="64">
        <f t="shared" si="1192"/>
        <v>0</v>
      </c>
      <c r="AU256" s="64">
        <f t="shared" si="1192"/>
        <v>493.66</v>
      </c>
      <c r="AV256" s="64">
        <f t="shared" si="1192"/>
        <v>0</v>
      </c>
      <c r="AW256" s="64">
        <f t="shared" si="1192"/>
        <v>0</v>
      </c>
      <c r="AX256" s="64">
        <f t="shared" si="1192"/>
        <v>0</v>
      </c>
      <c r="AY256" s="64">
        <f t="shared" si="1192"/>
        <v>1646.3200000000002</v>
      </c>
      <c r="AZ256" s="64">
        <f t="shared" si="1192"/>
        <v>230</v>
      </c>
      <c r="BA256" s="64">
        <f t="shared" si="1192"/>
        <v>1876.3200000000002</v>
      </c>
      <c r="BB256" s="64">
        <f t="shared" si="1192"/>
        <v>1566.73</v>
      </c>
      <c r="BC256" s="64">
        <f t="shared" si="1192"/>
        <v>222.73</v>
      </c>
      <c r="BD256" s="64">
        <f t="shared" si="1192"/>
        <v>79.590000000000146</v>
      </c>
      <c r="BE256" s="64">
        <f t="shared" si="1192"/>
        <v>7.2700000000000102</v>
      </c>
      <c r="BF256" s="64">
        <f t="shared" si="1192"/>
        <v>313.35000000000002</v>
      </c>
      <c r="BG256" s="132">
        <f t="shared" si="1192"/>
        <v>44.55</v>
      </c>
      <c r="BH256" s="132">
        <f t="shared" si="1192"/>
        <v>117.89</v>
      </c>
      <c r="BI256" s="132">
        <f t="shared" si="1192"/>
        <v>14.5</v>
      </c>
      <c r="BJ256" s="132">
        <f t="shared" si="1192"/>
        <v>0</v>
      </c>
      <c r="BK256" s="132">
        <f t="shared" si="1192"/>
        <v>0</v>
      </c>
      <c r="BL256" s="132">
        <f t="shared" si="1192"/>
        <v>1764.2100000000003</v>
      </c>
      <c r="BM256" s="132">
        <f t="shared" si="1192"/>
        <v>244.5</v>
      </c>
      <c r="BN256" s="132">
        <f t="shared" si="1192"/>
        <v>2008.7100000000003</v>
      </c>
      <c r="BO256" s="132">
        <f t="shared" si="1192"/>
        <v>1724.84</v>
      </c>
      <c r="BP256" s="132">
        <f t="shared" si="1192"/>
        <v>228.54</v>
      </c>
      <c r="BQ256" s="64">
        <f t="shared" si="1192"/>
        <v>39.370000000000346</v>
      </c>
      <c r="BR256" s="64">
        <f t="shared" si="1192"/>
        <v>15.960000000000008</v>
      </c>
      <c r="BS256" s="64">
        <f t="shared" si="1192"/>
        <v>156.80000000000001</v>
      </c>
      <c r="BT256" s="64">
        <f t="shared" si="1192"/>
        <v>20.78</v>
      </c>
      <c r="BU256" s="64">
        <f t="shared" si="1192"/>
        <v>122.89</v>
      </c>
      <c r="BV256" s="64">
        <f t="shared" si="1192"/>
        <v>14.5</v>
      </c>
      <c r="BW256" s="64">
        <f t="shared" si="1192"/>
        <v>0</v>
      </c>
      <c r="BX256" s="64">
        <f t="shared" si="1192"/>
        <v>0</v>
      </c>
      <c r="BY256" s="64">
        <f t="shared" si="1192"/>
        <v>0</v>
      </c>
      <c r="BZ256" s="64">
        <f>+BZ254+BZ255</f>
        <v>0</v>
      </c>
      <c r="CA256" s="64">
        <f t="shared" ref="CA256:CF256" si="1193">+CA254+CA255</f>
        <v>1887.1000000000004</v>
      </c>
      <c r="CB256" s="64">
        <f t="shared" si="1193"/>
        <v>259</v>
      </c>
      <c r="CC256" s="64">
        <f t="shared" si="1193"/>
        <v>2075.81</v>
      </c>
      <c r="CD256" s="132">
        <f t="shared" si="1193"/>
        <v>297.85000000000002</v>
      </c>
      <c r="CE256" s="192">
        <f t="shared" si="1193"/>
        <v>173</v>
      </c>
      <c r="CF256" s="192">
        <f t="shared" si="1193"/>
        <v>25</v>
      </c>
      <c r="CG256" s="192">
        <f t="shared" ref="CG256" si="1194">+CG254+CG255</f>
        <v>471.78</v>
      </c>
      <c r="CH256" s="192">
        <f t="shared" ref="CH256" si="1195">+CH254+CH255</f>
        <v>64.75</v>
      </c>
      <c r="CI256" s="192">
        <f t="shared" ref="CI256" si="1196">+CI254+CI255</f>
        <v>0</v>
      </c>
      <c r="CJ256" s="192">
        <f t="shared" ref="CJ256" si="1197">+CJ254+CJ255</f>
        <v>0</v>
      </c>
      <c r="CK256" s="192">
        <f t="shared" ref="CK256" si="1198">+CK254+CK255</f>
        <v>522.5</v>
      </c>
      <c r="CL256" s="192">
        <f t="shared" ref="CL256:DR256" si="1199">+CL254+CL255</f>
        <v>80</v>
      </c>
      <c r="CM256" s="192">
        <f t="shared" si="1199"/>
        <v>50</v>
      </c>
      <c r="CN256" s="192">
        <f t="shared" si="1199"/>
        <v>193.7</v>
      </c>
      <c r="CO256" s="192">
        <f t="shared" si="1199"/>
        <v>1975.1</v>
      </c>
      <c r="CP256" s="192">
        <f t="shared" si="1199"/>
        <v>615</v>
      </c>
      <c r="CQ256" s="192">
        <f t="shared" si="1199"/>
        <v>2090</v>
      </c>
      <c r="CR256" s="192">
        <f t="shared" si="1199"/>
        <v>320</v>
      </c>
      <c r="CS256" s="192">
        <f t="shared" si="1199"/>
        <v>1975.1</v>
      </c>
      <c r="CT256" s="192">
        <f t="shared" si="1199"/>
        <v>320</v>
      </c>
      <c r="CU256" s="192">
        <f t="shared" si="1199"/>
        <v>1975.1</v>
      </c>
      <c r="CV256" s="192">
        <f t="shared" si="1199"/>
        <v>387.53</v>
      </c>
      <c r="CW256" s="192">
        <f t="shared" si="1199"/>
        <v>493.78</v>
      </c>
      <c r="CX256" s="192">
        <f t="shared" si="1199"/>
        <v>0</v>
      </c>
      <c r="CY256" s="192">
        <f t="shared" si="1199"/>
        <v>0</v>
      </c>
      <c r="CZ256" s="192">
        <f t="shared" si="1199"/>
        <v>88.83</v>
      </c>
      <c r="DA256" s="192">
        <f t="shared" si="1199"/>
        <v>1239.28</v>
      </c>
      <c r="DB256" s="192">
        <f t="shared" si="1199"/>
        <v>387.53</v>
      </c>
      <c r="DC256" s="192">
        <f t="shared" si="1199"/>
        <v>1208.73</v>
      </c>
      <c r="DD256" s="192">
        <f t="shared" si="1199"/>
        <v>303.5</v>
      </c>
      <c r="DE256" s="192">
        <f t="shared" si="1199"/>
        <v>30.549999999999955</v>
      </c>
      <c r="DF256" s="192">
        <f t="shared" si="1199"/>
        <v>84.029999999999973</v>
      </c>
      <c r="DG256" s="192">
        <f t="shared" si="1199"/>
        <v>493.78</v>
      </c>
      <c r="DH256" s="192">
        <f t="shared" si="1199"/>
        <v>80</v>
      </c>
      <c r="DI256" s="192">
        <f t="shared" si="1199"/>
        <v>463.23</v>
      </c>
      <c r="DJ256" s="192">
        <f t="shared" si="1199"/>
        <v>2.7533531010703882E-14</v>
      </c>
      <c r="DK256" s="104">
        <f t="shared" si="1157"/>
        <v>292.58999999999992</v>
      </c>
      <c r="DL256" s="104">
        <f t="shared" si="1158"/>
        <v>227.47</v>
      </c>
      <c r="DM256" s="104">
        <f t="shared" si="949"/>
        <v>272.58999999999992</v>
      </c>
      <c r="DN256" s="104">
        <f t="shared" si="950"/>
        <v>-2.7533531010703882E-14</v>
      </c>
      <c r="DO256" s="64">
        <f t="shared" si="1199"/>
        <v>1995.1</v>
      </c>
      <c r="DP256" s="64">
        <f t="shared" si="1199"/>
        <v>615</v>
      </c>
      <c r="DQ256" s="64">
        <f t="shared" si="1199"/>
        <v>1978.1</v>
      </c>
      <c r="DR256" s="64">
        <f t="shared" si="1199"/>
        <v>320</v>
      </c>
    </row>
    <row r="257" spans="1:127" ht="18.75">
      <c r="A257" s="13">
        <v>15</v>
      </c>
      <c r="B257" s="13"/>
      <c r="C257" s="14"/>
      <c r="D257" s="15" t="s">
        <v>415</v>
      </c>
      <c r="E257" s="16"/>
      <c r="F257" s="81">
        <v>1239.5700000000002</v>
      </c>
      <c r="G257" s="81">
        <v>162.1</v>
      </c>
      <c r="H257" s="81">
        <v>1249.5700000000002</v>
      </c>
      <c r="I257" s="17">
        <v>227.1</v>
      </c>
      <c r="J257" s="86">
        <v>1500</v>
      </c>
      <c r="K257" s="87"/>
      <c r="L257" s="87"/>
      <c r="M257" s="87">
        <f t="shared" si="1140"/>
        <v>1500</v>
      </c>
      <c r="N257" s="87"/>
      <c r="O257" s="87"/>
      <c r="P257" s="87"/>
      <c r="Q257" s="87">
        <f t="shared" ref="Q257:Q259" si="1200">N257+O257+P257</f>
        <v>0</v>
      </c>
      <c r="R257" s="87">
        <f t="shared" si="1142"/>
        <v>1500</v>
      </c>
      <c r="S257" s="87">
        <v>300</v>
      </c>
      <c r="V257" s="17">
        <f t="shared" ref="V257" si="1201">ROUND(H257*1.0583,2)</f>
        <v>1322.42</v>
      </c>
      <c r="W257" s="17">
        <f t="shared" ref="W257" si="1202">ROUND(I257*1.0327,2)</f>
        <v>234.53</v>
      </c>
      <c r="X257" s="108">
        <f t="shared" ref="X257:X309" si="1203">R257-V257</f>
        <v>177.57999999999993</v>
      </c>
      <c r="Y257" s="108">
        <f t="shared" ref="Y257:Y309" si="1204">S257-W257</f>
        <v>65.47</v>
      </c>
      <c r="Z257" s="108">
        <v>1322.42</v>
      </c>
      <c r="AA257" s="108"/>
      <c r="AB257" s="108">
        <f t="shared" ref="AB257:AB310" si="1205">Z257+AA257</f>
        <v>1322.42</v>
      </c>
      <c r="AC257" s="109">
        <f t="shared" ref="AC257:AC310" si="1206">AD257-AB257</f>
        <v>0</v>
      </c>
      <c r="AD257" s="108">
        <f t="shared" ref="AD257" si="1207">IF(X257&gt;0,V257,R257)</f>
        <v>1322.42</v>
      </c>
      <c r="AE257" s="108">
        <f t="shared" ref="AE257" si="1208">IF(Y257&gt;0,W257,S257)</f>
        <v>234.53</v>
      </c>
      <c r="AF257" s="108">
        <f t="shared" ref="AF257:AF309" si="1209">ROUND(S257*0.9022,2)</f>
        <v>270.66000000000003</v>
      </c>
      <c r="AG257" s="108">
        <f t="shared" ref="AG257:AG309" si="1210">ROUND(AD257/4,0)</f>
        <v>331</v>
      </c>
      <c r="AH257" s="108">
        <f t="shared" ref="AH257:AH309" si="1211">ROUND(AE257/4,0)</f>
        <v>59</v>
      </c>
      <c r="AI257" s="127">
        <f t="shared" ref="AI257:AI309" si="1212">ROUND(AD257/12,0)</f>
        <v>110</v>
      </c>
      <c r="AJ257" s="108">
        <f t="shared" ref="AJ257:AJ309" si="1213">ROUND(AE257/12,0)</f>
        <v>20</v>
      </c>
      <c r="AM257" s="108">
        <f t="shared" ref="AM257:AM309" si="1214">ROUND(AD257*25%,2)</f>
        <v>330.61</v>
      </c>
      <c r="AN257" s="108">
        <f t="shared" ref="AN257:AN309" si="1215">ROUND(AE257*24.35%,2)</f>
        <v>57.11</v>
      </c>
      <c r="AQ257" s="108">
        <f t="shared" ref="AQ257:AQ309" si="1216">+AM257+AK257+AG257+AO257</f>
        <v>661.61</v>
      </c>
      <c r="AR257" s="108">
        <f t="shared" ref="AR257:AR309" si="1217">+AN257+AL257+AH257+AP257</f>
        <v>116.11</v>
      </c>
      <c r="AU257" s="108">
        <f t="shared" si="1054"/>
        <v>330.61</v>
      </c>
      <c r="AV257" s="116">
        <f t="shared" si="1153"/>
        <v>58.63</v>
      </c>
      <c r="AW257" s="116"/>
      <c r="AX257" s="143">
        <v>136.53</v>
      </c>
      <c r="AY257" s="116">
        <f t="shared" ref="AY257:AY309" si="1218">+AQ257+AS257+AU257+AW257+AI257</f>
        <v>1102.22</v>
      </c>
      <c r="AZ257" s="108">
        <f t="shared" ref="AZ257:AZ309" si="1219">+AR257+AT257+AV257+AX257+AJ257</f>
        <v>331.27</v>
      </c>
      <c r="BA257" s="108">
        <f t="shared" ref="BA257:BA309" si="1220">+AY257+AZ257</f>
        <v>1433.49</v>
      </c>
      <c r="BB257" s="139">
        <v>1078.8599999999999</v>
      </c>
      <c r="BC257" s="139">
        <v>316.68</v>
      </c>
      <c r="BD257" s="139">
        <f t="shared" ref="BD257:BD309" si="1221">AY257-BB257</f>
        <v>23.360000000000127</v>
      </c>
      <c r="BE257" s="139">
        <f t="shared" ref="BE257:BE309" si="1222">AZ257-BC257</f>
        <v>14.589999999999975</v>
      </c>
      <c r="BF257" s="139">
        <f t="shared" ref="BF257:BF309" si="1223">ROUND(BB257/10*2,2)</f>
        <v>215.77</v>
      </c>
      <c r="BG257" s="139">
        <f t="shared" ref="BG257:BG309" si="1224">ROUND(BC257/10*2,2)</f>
        <v>63.34</v>
      </c>
      <c r="BH257" s="108">
        <v>96.21</v>
      </c>
      <c r="BI257" s="108">
        <v>0</v>
      </c>
      <c r="BL257" s="108">
        <f t="shared" si="948"/>
        <v>1198.43</v>
      </c>
      <c r="BM257" s="108">
        <f t="shared" si="951"/>
        <v>331.27</v>
      </c>
      <c r="BN257" s="108">
        <f t="shared" si="952"/>
        <v>1529.7</v>
      </c>
      <c r="BO257" s="108">
        <v>1180.77</v>
      </c>
      <c r="BP257" s="127">
        <v>320.69</v>
      </c>
      <c r="BQ257" s="108">
        <f t="shared" si="953"/>
        <v>17.660000000000082</v>
      </c>
      <c r="BR257" s="108">
        <f t="shared" si="954"/>
        <v>10.579999999999984</v>
      </c>
      <c r="BS257" s="108">
        <f t="shared" si="955"/>
        <v>107.34</v>
      </c>
      <c r="BT257" s="108">
        <f t="shared" si="956"/>
        <v>29.15</v>
      </c>
      <c r="BU257" s="108">
        <v>89.68</v>
      </c>
      <c r="BV257" s="108">
        <v>0</v>
      </c>
      <c r="BW257" s="108">
        <v>20</v>
      </c>
      <c r="BX257" s="108">
        <v>40</v>
      </c>
      <c r="CA257" s="108">
        <v>1308.1100000000001</v>
      </c>
      <c r="CB257" s="108">
        <v>371.27</v>
      </c>
      <c r="CC257">
        <v>1438.92</v>
      </c>
      <c r="CD257">
        <v>426.96</v>
      </c>
      <c r="CE257" s="189">
        <v>120</v>
      </c>
      <c r="CF257" s="189">
        <v>36</v>
      </c>
      <c r="CG257" s="189">
        <f t="shared" si="957"/>
        <v>327.02999999999997</v>
      </c>
      <c r="CH257" s="189">
        <f t="shared" si="958"/>
        <v>92.82</v>
      </c>
      <c r="CI257" s="150"/>
      <c r="CJ257" s="150"/>
      <c r="CK257" s="150">
        <v>350</v>
      </c>
      <c r="CL257" s="150">
        <v>75</v>
      </c>
      <c r="CM257" s="150"/>
      <c r="CN257" s="150"/>
      <c r="CO257" s="150">
        <v>1520.98</v>
      </c>
      <c r="CP257" s="150">
        <v>269.7</v>
      </c>
      <c r="CQ257" s="150">
        <f t="shared" si="959"/>
        <v>1400</v>
      </c>
      <c r="CR257" s="150">
        <f t="shared" si="960"/>
        <v>300</v>
      </c>
      <c r="CS257" s="150">
        <f t="shared" si="961"/>
        <v>1400</v>
      </c>
      <c r="CT257" s="150">
        <f t="shared" si="962"/>
        <v>269.7</v>
      </c>
      <c r="CU257" s="150">
        <f t="shared" ref="CU257:CU259" si="1225">IF(CQ257&lt;CS257,CQ257,CS257)</f>
        <v>1400</v>
      </c>
      <c r="CV257" s="150">
        <f t="shared" ref="CV257:CV259" si="1226">IF(CR257&lt;CT257,CR257,CT257)</f>
        <v>269.7</v>
      </c>
      <c r="CW257" s="150">
        <f t="shared" si="963"/>
        <v>350</v>
      </c>
      <c r="CX257" s="150">
        <f>ROUND(CV257*25%,2)-30</f>
        <v>37.430000000000007</v>
      </c>
      <c r="CY257" s="150"/>
      <c r="CZ257" s="150"/>
      <c r="DA257" s="150">
        <f t="shared" si="964"/>
        <v>820</v>
      </c>
      <c r="DB257" s="150">
        <f t="shared" si="965"/>
        <v>148.43</v>
      </c>
      <c r="DC257" s="150">
        <v>758.13</v>
      </c>
      <c r="DD257" s="150">
        <v>128.66999999999999</v>
      </c>
      <c r="DE257" s="150">
        <f t="shared" si="966"/>
        <v>61.870000000000005</v>
      </c>
      <c r="DF257" s="150">
        <f t="shared" si="967"/>
        <v>19.760000000000019</v>
      </c>
      <c r="DG257" s="150">
        <f t="shared" ref="DG257:DH259" si="1227">ROUND(0.25*(MIN(CU257,DO257)),2)</f>
        <v>350</v>
      </c>
      <c r="DH257" s="150">
        <f t="shared" si="1227"/>
        <v>67.430000000000007</v>
      </c>
      <c r="DI257" s="150">
        <f t="shared" ref="DI257:DJ259" si="1228">+DG257-DE257</f>
        <v>288.13</v>
      </c>
      <c r="DJ257" s="150">
        <f t="shared" si="1228"/>
        <v>47.669999999999987</v>
      </c>
      <c r="DK257" s="104">
        <f t="shared" si="1157"/>
        <v>367.87</v>
      </c>
      <c r="DL257" s="104">
        <f t="shared" si="1158"/>
        <v>106.72999999999999</v>
      </c>
      <c r="DM257" s="104">
        <f t="shared" si="949"/>
        <v>291.87</v>
      </c>
      <c r="DN257" s="104">
        <f t="shared" si="950"/>
        <v>73.599999999999994</v>
      </c>
      <c r="DO257" s="104">
        <v>1476</v>
      </c>
      <c r="DP257" s="104">
        <v>302.83</v>
      </c>
      <c r="DQ257" s="104">
        <v>1695</v>
      </c>
      <c r="DR257" s="104">
        <v>310.16000000000003</v>
      </c>
    </row>
    <row r="258" spans="1:127" ht="18.75">
      <c r="A258" s="13">
        <v>16</v>
      </c>
      <c r="B258" s="13"/>
      <c r="C258" s="14"/>
      <c r="D258" s="15" t="s">
        <v>416</v>
      </c>
      <c r="E258" s="16"/>
      <c r="F258" s="81">
        <v>0</v>
      </c>
      <c r="G258" s="81">
        <v>0</v>
      </c>
      <c r="H258" s="81">
        <v>0</v>
      </c>
      <c r="I258" s="17">
        <v>0</v>
      </c>
      <c r="J258" s="86"/>
      <c r="K258" s="87"/>
      <c r="L258" s="87"/>
      <c r="M258" s="87">
        <f t="shared" si="1140"/>
        <v>0</v>
      </c>
      <c r="N258" s="87"/>
      <c r="O258" s="87"/>
      <c r="P258" s="87"/>
      <c r="Q258" s="87">
        <f t="shared" si="1200"/>
        <v>0</v>
      </c>
      <c r="R258" s="87">
        <f t="shared" si="1142"/>
        <v>0</v>
      </c>
      <c r="S258" s="87">
        <v>0</v>
      </c>
      <c r="V258" s="17">
        <f t="shared" ref="V258:V259" si="1229">ROUND(H258*1.0583,2)</f>
        <v>0</v>
      </c>
      <c r="W258" s="17">
        <f t="shared" ref="W258:W259" si="1230">ROUND(I258*1.0327,2)</f>
        <v>0</v>
      </c>
      <c r="X258" s="108">
        <f t="shared" si="1203"/>
        <v>0</v>
      </c>
      <c r="Y258" s="108">
        <f t="shared" si="1204"/>
        <v>0</v>
      </c>
      <c r="Z258" s="108">
        <v>0</v>
      </c>
      <c r="AA258" s="108"/>
      <c r="AB258" s="108">
        <f t="shared" si="1205"/>
        <v>0</v>
      </c>
      <c r="AC258" s="109">
        <f t="shared" si="1206"/>
        <v>0</v>
      </c>
      <c r="AD258" s="108">
        <f t="shared" ref="AD258:AD259" si="1231">IF(X258&gt;0,V258,R258)</f>
        <v>0</v>
      </c>
      <c r="AE258" s="108">
        <f t="shared" ref="AE258:AE259" si="1232">IF(Y258&gt;0,W258,S258)</f>
        <v>0</v>
      </c>
      <c r="AF258" s="108">
        <f t="shared" si="1209"/>
        <v>0</v>
      </c>
      <c r="AG258" s="108">
        <f t="shared" si="1210"/>
        <v>0</v>
      </c>
      <c r="AH258" s="108">
        <f t="shared" si="1211"/>
        <v>0</v>
      </c>
      <c r="AI258" s="127">
        <f t="shared" si="1212"/>
        <v>0</v>
      </c>
      <c r="AJ258" s="108">
        <f t="shared" si="1213"/>
        <v>0</v>
      </c>
      <c r="AM258" s="108">
        <f t="shared" si="1214"/>
        <v>0</v>
      </c>
      <c r="AN258" s="108">
        <f t="shared" si="1215"/>
        <v>0</v>
      </c>
      <c r="AQ258" s="108">
        <f t="shared" si="1216"/>
        <v>0</v>
      </c>
      <c r="AR258" s="108">
        <f t="shared" si="1217"/>
        <v>0</v>
      </c>
      <c r="AU258" s="108">
        <f t="shared" si="1054"/>
        <v>0</v>
      </c>
      <c r="AV258" s="108">
        <f t="shared" si="1153"/>
        <v>0</v>
      </c>
      <c r="AY258" s="108">
        <f t="shared" si="1218"/>
        <v>0</v>
      </c>
      <c r="AZ258" s="108">
        <f t="shared" si="1219"/>
        <v>0</v>
      </c>
      <c r="BA258" s="108">
        <f t="shared" si="1220"/>
        <v>0</v>
      </c>
      <c r="BB258" s="139">
        <v>0</v>
      </c>
      <c r="BD258" s="139">
        <f t="shared" si="1221"/>
        <v>0</v>
      </c>
      <c r="BE258" s="139">
        <f t="shared" si="1222"/>
        <v>0</v>
      </c>
      <c r="BF258" s="139">
        <f t="shared" si="1223"/>
        <v>0</v>
      </c>
      <c r="BG258" s="139">
        <f t="shared" si="1224"/>
        <v>0</v>
      </c>
      <c r="BH258" s="108">
        <v>0</v>
      </c>
      <c r="BI258" s="108">
        <v>0</v>
      </c>
      <c r="BL258" s="108">
        <f t="shared" si="948"/>
        <v>0</v>
      </c>
      <c r="BM258" s="108">
        <f t="shared" si="951"/>
        <v>0</v>
      </c>
      <c r="BN258" s="108">
        <f t="shared" si="952"/>
        <v>0</v>
      </c>
      <c r="BO258" s="108">
        <v>0</v>
      </c>
      <c r="BP258" s="127"/>
      <c r="BQ258" s="108">
        <f t="shared" si="953"/>
        <v>0</v>
      </c>
      <c r="BR258" s="108">
        <f t="shared" si="954"/>
        <v>0</v>
      </c>
      <c r="BS258" s="108">
        <f t="shared" si="955"/>
        <v>0</v>
      </c>
      <c r="BT258" s="108">
        <f t="shared" si="956"/>
        <v>0</v>
      </c>
      <c r="BU258" s="108">
        <f t="shared" si="987"/>
        <v>0</v>
      </c>
      <c r="BV258" s="108">
        <v>0</v>
      </c>
      <c r="CA258" s="108">
        <v>0</v>
      </c>
      <c r="CB258" s="108">
        <v>0</v>
      </c>
      <c r="CC258">
        <v>0</v>
      </c>
      <c r="CD258">
        <v>0</v>
      </c>
      <c r="CE258" s="189">
        <v>0</v>
      </c>
      <c r="CF258" s="189">
        <v>0</v>
      </c>
      <c r="CG258" s="189">
        <f t="shared" si="957"/>
        <v>0</v>
      </c>
      <c r="CH258" s="189">
        <f t="shared" si="958"/>
        <v>0</v>
      </c>
      <c r="CI258" s="150"/>
      <c r="CJ258" s="150"/>
      <c r="CK258" s="150">
        <v>0</v>
      </c>
      <c r="CL258" s="150">
        <v>0</v>
      </c>
      <c r="CM258" s="150"/>
      <c r="CN258" s="150"/>
      <c r="CO258" s="150"/>
      <c r="CP258" s="150"/>
      <c r="CQ258" s="150">
        <f t="shared" si="959"/>
        <v>0</v>
      </c>
      <c r="CR258" s="150">
        <f t="shared" si="960"/>
        <v>0</v>
      </c>
      <c r="CS258" s="150">
        <f t="shared" si="961"/>
        <v>0</v>
      </c>
      <c r="CT258" s="150">
        <f t="shared" si="962"/>
        <v>0</v>
      </c>
      <c r="CU258" s="150">
        <f t="shared" si="1225"/>
        <v>0</v>
      </c>
      <c r="CV258" s="150">
        <f t="shared" si="1226"/>
        <v>0</v>
      </c>
      <c r="CW258" s="150">
        <f t="shared" si="963"/>
        <v>0</v>
      </c>
      <c r="CX258" s="150">
        <f t="shared" si="963"/>
        <v>0</v>
      </c>
      <c r="CY258" s="150"/>
      <c r="CZ258" s="150"/>
      <c r="DA258" s="150">
        <f t="shared" si="964"/>
        <v>0</v>
      </c>
      <c r="DB258" s="150">
        <f t="shared" si="965"/>
        <v>0</v>
      </c>
      <c r="DC258" s="150">
        <v>0</v>
      </c>
      <c r="DD258" s="150">
        <v>0</v>
      </c>
      <c r="DE258" s="150">
        <f t="shared" si="966"/>
        <v>0</v>
      </c>
      <c r="DF258" s="150">
        <f t="shared" si="967"/>
        <v>0</v>
      </c>
      <c r="DG258" s="150">
        <f t="shared" si="1227"/>
        <v>0</v>
      </c>
      <c r="DH258" s="150">
        <f t="shared" si="1227"/>
        <v>0</v>
      </c>
      <c r="DI258" s="150">
        <f t="shared" si="1228"/>
        <v>0</v>
      </c>
      <c r="DJ258" s="150">
        <f t="shared" si="1228"/>
        <v>0</v>
      </c>
      <c r="DK258" s="104">
        <f t="shared" si="1157"/>
        <v>0</v>
      </c>
      <c r="DL258" s="104">
        <f t="shared" si="1158"/>
        <v>0</v>
      </c>
      <c r="DM258" s="104">
        <f t="shared" si="949"/>
        <v>0</v>
      </c>
      <c r="DN258" s="104">
        <f t="shared" si="950"/>
        <v>0</v>
      </c>
      <c r="DO258" s="104">
        <v>0</v>
      </c>
      <c r="DP258" s="104">
        <v>0</v>
      </c>
      <c r="DQ258" s="104">
        <v>0</v>
      </c>
      <c r="DR258" s="104">
        <v>0</v>
      </c>
    </row>
    <row r="259" spans="1:127" ht="18.75">
      <c r="A259" s="13">
        <v>17</v>
      </c>
      <c r="B259" s="13"/>
      <c r="C259" s="14"/>
      <c r="D259" s="15" t="s">
        <v>417</v>
      </c>
      <c r="E259" s="16"/>
      <c r="F259" s="81">
        <v>0</v>
      </c>
      <c r="G259" s="81">
        <v>0</v>
      </c>
      <c r="H259" s="81">
        <v>0</v>
      </c>
      <c r="I259" s="17">
        <v>0</v>
      </c>
      <c r="J259" s="86"/>
      <c r="K259" s="87"/>
      <c r="L259" s="87"/>
      <c r="M259" s="87">
        <f t="shared" si="1140"/>
        <v>0</v>
      </c>
      <c r="N259" s="87"/>
      <c r="O259" s="87"/>
      <c r="P259" s="87"/>
      <c r="Q259" s="87">
        <f t="shared" si="1200"/>
        <v>0</v>
      </c>
      <c r="R259" s="87">
        <f t="shared" si="1142"/>
        <v>0</v>
      </c>
      <c r="S259" s="87">
        <v>0</v>
      </c>
      <c r="V259" s="17">
        <f t="shared" si="1229"/>
        <v>0</v>
      </c>
      <c r="W259" s="17">
        <f t="shared" si="1230"/>
        <v>0</v>
      </c>
      <c r="X259" s="108">
        <f t="shared" si="1203"/>
        <v>0</v>
      </c>
      <c r="Y259" s="108">
        <f t="shared" si="1204"/>
        <v>0</v>
      </c>
      <c r="Z259" s="108">
        <v>0</v>
      </c>
      <c r="AA259" s="108"/>
      <c r="AB259" s="108">
        <f t="shared" si="1205"/>
        <v>0</v>
      </c>
      <c r="AC259" s="109">
        <f t="shared" si="1206"/>
        <v>0</v>
      </c>
      <c r="AD259" s="108">
        <f t="shared" si="1231"/>
        <v>0</v>
      </c>
      <c r="AE259" s="108">
        <f t="shared" si="1232"/>
        <v>0</v>
      </c>
      <c r="AF259" s="108">
        <f t="shared" si="1209"/>
        <v>0</v>
      </c>
      <c r="AG259" s="108">
        <f t="shared" si="1210"/>
        <v>0</v>
      </c>
      <c r="AH259" s="108">
        <f t="shared" si="1211"/>
        <v>0</v>
      </c>
      <c r="AI259" s="127">
        <f t="shared" si="1212"/>
        <v>0</v>
      </c>
      <c r="AJ259" s="108">
        <f t="shared" si="1213"/>
        <v>0</v>
      </c>
      <c r="AM259" s="108">
        <f t="shared" si="1214"/>
        <v>0</v>
      </c>
      <c r="AN259" s="108">
        <f t="shared" si="1215"/>
        <v>0</v>
      </c>
      <c r="AQ259" s="108">
        <f t="shared" si="1216"/>
        <v>0</v>
      </c>
      <c r="AR259" s="108">
        <f t="shared" si="1217"/>
        <v>0</v>
      </c>
      <c r="AU259" s="108">
        <f t="shared" si="1054"/>
        <v>0</v>
      </c>
      <c r="AV259" s="108">
        <f t="shared" si="1153"/>
        <v>0</v>
      </c>
      <c r="AY259" s="108">
        <f t="shared" si="1218"/>
        <v>0</v>
      </c>
      <c r="AZ259" s="108">
        <f t="shared" si="1219"/>
        <v>0</v>
      </c>
      <c r="BA259" s="108">
        <f t="shared" si="1220"/>
        <v>0</v>
      </c>
      <c r="BB259" s="139">
        <v>0</v>
      </c>
      <c r="BD259" s="139">
        <f t="shared" si="1221"/>
        <v>0</v>
      </c>
      <c r="BE259" s="139">
        <f t="shared" si="1222"/>
        <v>0</v>
      </c>
      <c r="BF259" s="139">
        <f t="shared" si="1223"/>
        <v>0</v>
      </c>
      <c r="BG259" s="139">
        <f t="shared" si="1224"/>
        <v>0</v>
      </c>
      <c r="BH259" s="108">
        <v>0</v>
      </c>
      <c r="BI259" s="108">
        <v>0</v>
      </c>
      <c r="BL259" s="108">
        <f t="shared" si="948"/>
        <v>0</v>
      </c>
      <c r="BM259" s="108">
        <f t="shared" si="951"/>
        <v>0</v>
      </c>
      <c r="BN259" s="108">
        <f t="shared" si="952"/>
        <v>0</v>
      </c>
      <c r="BO259" s="108">
        <v>0</v>
      </c>
      <c r="BP259" s="127"/>
      <c r="BQ259" s="108">
        <f t="shared" si="953"/>
        <v>0</v>
      </c>
      <c r="BR259" s="108">
        <f t="shared" si="954"/>
        <v>0</v>
      </c>
      <c r="BS259" s="108">
        <f t="shared" si="955"/>
        <v>0</v>
      </c>
      <c r="BT259" s="108">
        <f t="shared" si="956"/>
        <v>0</v>
      </c>
      <c r="BU259" s="108">
        <f t="shared" si="987"/>
        <v>0</v>
      </c>
      <c r="BV259" s="108">
        <v>0</v>
      </c>
      <c r="CA259" s="108">
        <v>0</v>
      </c>
      <c r="CB259" s="108">
        <v>0</v>
      </c>
      <c r="CC259">
        <v>0</v>
      </c>
      <c r="CD259">
        <v>0</v>
      </c>
      <c r="CE259" s="189">
        <v>0</v>
      </c>
      <c r="CF259" s="189">
        <v>0</v>
      </c>
      <c r="CG259" s="189">
        <f t="shared" si="957"/>
        <v>0</v>
      </c>
      <c r="CH259" s="189">
        <f t="shared" si="958"/>
        <v>0</v>
      </c>
      <c r="CI259" s="150"/>
      <c r="CJ259" s="150"/>
      <c r="CK259" s="150">
        <v>0</v>
      </c>
      <c r="CL259" s="150">
        <v>0</v>
      </c>
      <c r="CM259" s="150"/>
      <c r="CN259" s="150"/>
      <c r="CO259" s="150"/>
      <c r="CP259" s="150"/>
      <c r="CQ259" s="150">
        <f t="shared" si="959"/>
        <v>0</v>
      </c>
      <c r="CR259" s="150">
        <f t="shared" si="960"/>
        <v>0</v>
      </c>
      <c r="CS259" s="150">
        <f t="shared" si="961"/>
        <v>0</v>
      </c>
      <c r="CT259" s="150">
        <f t="shared" si="962"/>
        <v>0</v>
      </c>
      <c r="CU259" s="150">
        <f t="shared" si="1225"/>
        <v>0</v>
      </c>
      <c r="CV259" s="150">
        <f t="shared" si="1226"/>
        <v>0</v>
      </c>
      <c r="CW259" s="150">
        <f t="shared" si="963"/>
        <v>0</v>
      </c>
      <c r="CX259" s="150">
        <f t="shared" si="963"/>
        <v>0</v>
      </c>
      <c r="CY259" s="150"/>
      <c r="CZ259" s="150"/>
      <c r="DA259" s="150">
        <f t="shared" si="964"/>
        <v>0</v>
      </c>
      <c r="DB259" s="150">
        <f t="shared" si="965"/>
        <v>0</v>
      </c>
      <c r="DC259" s="150">
        <v>0</v>
      </c>
      <c r="DD259" s="150">
        <v>0</v>
      </c>
      <c r="DE259" s="150">
        <f t="shared" si="966"/>
        <v>0</v>
      </c>
      <c r="DF259" s="150">
        <f t="shared" si="967"/>
        <v>0</v>
      </c>
      <c r="DG259" s="150">
        <f t="shared" si="1227"/>
        <v>0</v>
      </c>
      <c r="DH259" s="150">
        <f t="shared" si="1227"/>
        <v>0</v>
      </c>
      <c r="DI259" s="150">
        <f t="shared" si="1228"/>
        <v>0</v>
      </c>
      <c r="DJ259" s="150">
        <f t="shared" si="1228"/>
        <v>0</v>
      </c>
      <c r="DK259" s="104">
        <f t="shared" si="1157"/>
        <v>0</v>
      </c>
      <c r="DL259" s="104">
        <f t="shared" si="1158"/>
        <v>0</v>
      </c>
      <c r="DM259" s="104">
        <f t="shared" si="949"/>
        <v>0</v>
      </c>
      <c r="DN259" s="104">
        <f t="shared" si="950"/>
        <v>0</v>
      </c>
      <c r="DO259" s="104">
        <v>0</v>
      </c>
      <c r="DP259" s="104">
        <v>0</v>
      </c>
      <c r="DQ259" s="104">
        <v>0</v>
      </c>
      <c r="DR259" s="104">
        <v>0</v>
      </c>
    </row>
    <row r="260" spans="1:127" ht="18.75">
      <c r="A260" s="18"/>
      <c r="B260" s="18" t="s">
        <v>418</v>
      </c>
      <c r="C260" s="19" t="s">
        <v>419</v>
      </c>
      <c r="D260" s="20" t="s">
        <v>415</v>
      </c>
      <c r="E260" s="21" t="s">
        <v>420</v>
      </c>
      <c r="F260" s="22">
        <v>1239.5700000000002</v>
      </c>
      <c r="G260" s="22">
        <v>162.1</v>
      </c>
      <c r="H260" s="22">
        <v>1249.5700000000002</v>
      </c>
      <c r="I260" s="22">
        <v>227.1</v>
      </c>
      <c r="J260" s="88">
        <f t="shared" ref="J260:AA260" si="1233">+J257+J258+J259</f>
        <v>1500</v>
      </c>
      <c r="K260" s="88">
        <f t="shared" si="1233"/>
        <v>0</v>
      </c>
      <c r="L260" s="88">
        <f t="shared" si="1233"/>
        <v>0</v>
      </c>
      <c r="M260" s="88">
        <f t="shared" si="1233"/>
        <v>1500</v>
      </c>
      <c r="N260" s="88">
        <f t="shared" si="1233"/>
        <v>0</v>
      </c>
      <c r="O260" s="88">
        <f t="shared" si="1233"/>
        <v>0</v>
      </c>
      <c r="P260" s="88">
        <f t="shared" si="1233"/>
        <v>0</v>
      </c>
      <c r="Q260" s="88">
        <f t="shared" si="1233"/>
        <v>0</v>
      </c>
      <c r="R260" s="88">
        <f t="shared" si="1233"/>
        <v>1500</v>
      </c>
      <c r="S260" s="88">
        <f t="shared" si="1233"/>
        <v>300</v>
      </c>
      <c r="T260" s="88">
        <f t="shared" si="1233"/>
        <v>0</v>
      </c>
      <c r="U260" s="88">
        <f t="shared" si="1233"/>
        <v>0</v>
      </c>
      <c r="V260" s="88">
        <f t="shared" si="1233"/>
        <v>1322.42</v>
      </c>
      <c r="W260" s="88">
        <f t="shared" si="1233"/>
        <v>234.53</v>
      </c>
      <c r="X260" s="88">
        <f t="shared" si="1233"/>
        <v>177.57999999999993</v>
      </c>
      <c r="Y260" s="88">
        <f t="shared" si="1233"/>
        <v>65.47</v>
      </c>
      <c r="Z260" s="88">
        <f t="shared" si="1233"/>
        <v>1322.42</v>
      </c>
      <c r="AA260" s="88">
        <f t="shared" si="1233"/>
        <v>0</v>
      </c>
      <c r="AB260" s="22">
        <f t="shared" si="1205"/>
        <v>1322.42</v>
      </c>
      <c r="AC260" s="109">
        <f t="shared" si="1206"/>
        <v>0</v>
      </c>
      <c r="AD260" s="22">
        <f t="shared" ref="AD260:CQ260" si="1234">+AD257+AD258+AD259</f>
        <v>1322.42</v>
      </c>
      <c r="AE260" s="22">
        <f t="shared" si="1234"/>
        <v>234.53</v>
      </c>
      <c r="AF260" s="22">
        <f t="shared" si="1234"/>
        <v>270.66000000000003</v>
      </c>
      <c r="AG260" s="22">
        <f t="shared" si="1234"/>
        <v>331</v>
      </c>
      <c r="AH260" s="22">
        <f t="shared" si="1234"/>
        <v>59</v>
      </c>
      <c r="AI260" s="118">
        <f t="shared" si="1234"/>
        <v>110</v>
      </c>
      <c r="AJ260" s="22">
        <f t="shared" si="1234"/>
        <v>20</v>
      </c>
      <c r="AK260" s="22">
        <f t="shared" si="1234"/>
        <v>0</v>
      </c>
      <c r="AL260" s="22">
        <f t="shared" si="1234"/>
        <v>0</v>
      </c>
      <c r="AM260" s="22">
        <f t="shared" si="1234"/>
        <v>330.61</v>
      </c>
      <c r="AN260" s="22">
        <f t="shared" si="1234"/>
        <v>57.11</v>
      </c>
      <c r="AO260" s="22">
        <f t="shared" si="1234"/>
        <v>0</v>
      </c>
      <c r="AP260" s="22">
        <f t="shared" si="1234"/>
        <v>0</v>
      </c>
      <c r="AQ260" s="22">
        <f t="shared" si="1234"/>
        <v>661.61</v>
      </c>
      <c r="AR260" s="22">
        <f t="shared" si="1234"/>
        <v>116.11</v>
      </c>
      <c r="AS260" s="22">
        <f t="shared" si="1234"/>
        <v>0</v>
      </c>
      <c r="AT260" s="22">
        <f t="shared" si="1234"/>
        <v>0</v>
      </c>
      <c r="AU260" s="22">
        <f t="shared" si="1234"/>
        <v>330.61</v>
      </c>
      <c r="AV260" s="22">
        <f t="shared" si="1234"/>
        <v>58.63</v>
      </c>
      <c r="AW260" s="22">
        <f t="shared" si="1234"/>
        <v>0</v>
      </c>
      <c r="AX260" s="22">
        <f t="shared" si="1234"/>
        <v>136.53</v>
      </c>
      <c r="AY260" s="22">
        <f t="shared" si="1234"/>
        <v>1102.22</v>
      </c>
      <c r="AZ260" s="22">
        <f t="shared" si="1234"/>
        <v>331.27</v>
      </c>
      <c r="BA260" s="22">
        <f t="shared" si="1234"/>
        <v>1433.49</v>
      </c>
      <c r="BB260" s="22">
        <f t="shared" si="1234"/>
        <v>1078.8599999999999</v>
      </c>
      <c r="BC260" s="22">
        <f t="shared" si="1234"/>
        <v>316.68</v>
      </c>
      <c r="BD260" s="22">
        <f t="shared" si="1234"/>
        <v>23.360000000000127</v>
      </c>
      <c r="BE260" s="22">
        <f t="shared" si="1234"/>
        <v>14.589999999999975</v>
      </c>
      <c r="BF260" s="22">
        <f t="shared" si="1234"/>
        <v>215.77</v>
      </c>
      <c r="BG260" s="118">
        <f t="shared" si="1234"/>
        <v>63.34</v>
      </c>
      <c r="BH260" s="118">
        <f t="shared" si="1234"/>
        <v>96.21</v>
      </c>
      <c r="BI260" s="118">
        <f t="shared" si="1234"/>
        <v>0</v>
      </c>
      <c r="BJ260" s="118">
        <f t="shared" si="1234"/>
        <v>0</v>
      </c>
      <c r="BK260" s="118">
        <f t="shared" si="1234"/>
        <v>0</v>
      </c>
      <c r="BL260" s="118">
        <f t="shared" si="1234"/>
        <v>1198.43</v>
      </c>
      <c r="BM260" s="118">
        <f t="shared" si="1234"/>
        <v>331.27</v>
      </c>
      <c r="BN260" s="118">
        <f t="shared" si="1234"/>
        <v>1529.7</v>
      </c>
      <c r="BO260" s="118">
        <f t="shared" si="1234"/>
        <v>1180.77</v>
      </c>
      <c r="BP260" s="118">
        <f t="shared" si="1234"/>
        <v>320.69</v>
      </c>
      <c r="BQ260" s="22">
        <f t="shared" si="1234"/>
        <v>17.660000000000082</v>
      </c>
      <c r="BR260" s="22">
        <f t="shared" si="1234"/>
        <v>10.579999999999984</v>
      </c>
      <c r="BS260" s="22">
        <f t="shared" si="1234"/>
        <v>107.34</v>
      </c>
      <c r="BT260" s="22">
        <f t="shared" si="1234"/>
        <v>29.15</v>
      </c>
      <c r="BU260" s="22">
        <f t="shared" si="1234"/>
        <v>89.68</v>
      </c>
      <c r="BV260" s="22">
        <f t="shared" si="1234"/>
        <v>0</v>
      </c>
      <c r="BW260" s="22">
        <f t="shared" si="1234"/>
        <v>20</v>
      </c>
      <c r="BX260" s="22">
        <f t="shared" si="1234"/>
        <v>40</v>
      </c>
      <c r="BY260" s="22">
        <f t="shared" si="1234"/>
        <v>0</v>
      </c>
      <c r="BZ260" s="22">
        <f t="shared" si="1234"/>
        <v>0</v>
      </c>
      <c r="CA260" s="22">
        <f t="shared" si="1234"/>
        <v>1308.1100000000001</v>
      </c>
      <c r="CB260" s="22">
        <f t="shared" si="1234"/>
        <v>371.27</v>
      </c>
      <c r="CC260" s="22">
        <f t="shared" si="1234"/>
        <v>1438.92</v>
      </c>
      <c r="CD260" s="118">
        <f t="shared" si="1234"/>
        <v>426.96</v>
      </c>
      <c r="CE260" s="190">
        <f t="shared" si="1234"/>
        <v>120</v>
      </c>
      <c r="CF260" s="190">
        <f t="shared" si="1234"/>
        <v>36</v>
      </c>
      <c r="CG260" s="190">
        <f t="shared" si="1234"/>
        <v>327.02999999999997</v>
      </c>
      <c r="CH260" s="190">
        <f t="shared" si="1234"/>
        <v>92.82</v>
      </c>
      <c r="CI260" s="190">
        <f t="shared" si="1234"/>
        <v>0</v>
      </c>
      <c r="CJ260" s="190">
        <f t="shared" si="1234"/>
        <v>0</v>
      </c>
      <c r="CK260" s="190">
        <f t="shared" si="1234"/>
        <v>350</v>
      </c>
      <c r="CL260" s="190">
        <f t="shared" si="1234"/>
        <v>75</v>
      </c>
      <c r="CM260" s="190">
        <f t="shared" si="1234"/>
        <v>0</v>
      </c>
      <c r="CN260" s="190">
        <f t="shared" si="1234"/>
        <v>0</v>
      </c>
      <c r="CO260" s="190">
        <f t="shared" si="1234"/>
        <v>1520.98</v>
      </c>
      <c r="CP260" s="190">
        <f t="shared" si="1234"/>
        <v>269.7</v>
      </c>
      <c r="CQ260" s="190">
        <f t="shared" si="1234"/>
        <v>1400</v>
      </c>
      <c r="CR260" s="190">
        <f t="shared" ref="CR260:DQ260" si="1235">+CR257+CR258+CR259</f>
        <v>300</v>
      </c>
      <c r="CS260" s="190">
        <f t="shared" si="1235"/>
        <v>1400</v>
      </c>
      <c r="CT260" s="190">
        <f t="shared" si="1235"/>
        <v>269.7</v>
      </c>
      <c r="CU260" s="190">
        <f t="shared" si="1235"/>
        <v>1400</v>
      </c>
      <c r="CV260" s="190">
        <f t="shared" si="1235"/>
        <v>269.7</v>
      </c>
      <c r="CW260" s="190">
        <f t="shared" si="1235"/>
        <v>350</v>
      </c>
      <c r="CX260" s="190">
        <f t="shared" si="1235"/>
        <v>37.430000000000007</v>
      </c>
      <c r="CY260" s="190">
        <f t="shared" si="1235"/>
        <v>0</v>
      </c>
      <c r="CZ260" s="190">
        <f t="shared" si="1235"/>
        <v>0</v>
      </c>
      <c r="DA260" s="190">
        <f t="shared" si="1235"/>
        <v>820</v>
      </c>
      <c r="DB260" s="190">
        <f t="shared" si="1235"/>
        <v>148.43</v>
      </c>
      <c r="DC260" s="190">
        <f t="shared" si="1235"/>
        <v>758.13</v>
      </c>
      <c r="DD260" s="190">
        <f t="shared" si="1235"/>
        <v>128.66999999999999</v>
      </c>
      <c r="DE260" s="190">
        <f t="shared" si="1235"/>
        <v>61.870000000000005</v>
      </c>
      <c r="DF260" s="190">
        <f t="shared" si="1235"/>
        <v>19.760000000000019</v>
      </c>
      <c r="DG260" s="190">
        <f t="shared" si="1235"/>
        <v>350</v>
      </c>
      <c r="DH260" s="190">
        <f t="shared" si="1235"/>
        <v>67.430000000000007</v>
      </c>
      <c r="DI260" s="190">
        <f t="shared" si="1235"/>
        <v>288.13</v>
      </c>
      <c r="DJ260" s="190">
        <f t="shared" si="1235"/>
        <v>47.669999999999987</v>
      </c>
      <c r="DK260" s="104">
        <f t="shared" si="1157"/>
        <v>367.87</v>
      </c>
      <c r="DL260" s="104">
        <f t="shared" si="1158"/>
        <v>106.72999999999999</v>
      </c>
      <c r="DM260" s="104">
        <f t="shared" si="949"/>
        <v>291.87</v>
      </c>
      <c r="DN260" s="104">
        <f t="shared" si="950"/>
        <v>73.599999999999994</v>
      </c>
      <c r="DO260" s="22">
        <f t="shared" si="1235"/>
        <v>1476</v>
      </c>
      <c r="DP260" s="22">
        <f t="shared" si="1235"/>
        <v>302.83</v>
      </c>
      <c r="DQ260" s="22">
        <f t="shared" si="1235"/>
        <v>1695</v>
      </c>
      <c r="DR260" s="22">
        <f t="shared" ref="DR260" si="1236">+DR257+DR258+DR259</f>
        <v>310.16000000000003</v>
      </c>
    </row>
    <row r="261" spans="1:127" ht="18.75">
      <c r="A261" s="18">
        <v>18</v>
      </c>
      <c r="B261" s="18" t="s">
        <v>421</v>
      </c>
      <c r="C261" s="19" t="s">
        <v>18</v>
      </c>
      <c r="D261" s="20" t="s">
        <v>422</v>
      </c>
      <c r="E261" s="21" t="s">
        <v>423</v>
      </c>
      <c r="F261" s="81">
        <v>1375.87</v>
      </c>
      <c r="G261" s="81">
        <v>268.45</v>
      </c>
      <c r="H261" s="81">
        <v>1375.87</v>
      </c>
      <c r="I261" s="22">
        <v>268.45</v>
      </c>
      <c r="J261" s="88">
        <v>1579.6</v>
      </c>
      <c r="K261" s="87"/>
      <c r="L261" s="87"/>
      <c r="M261" s="88">
        <f t="shared" ref="M261:M266" si="1237">+L261+K261+J261</f>
        <v>1579.6</v>
      </c>
      <c r="N261" s="87"/>
      <c r="O261" s="87"/>
      <c r="P261" s="87"/>
      <c r="Q261" s="88">
        <f t="shared" ref="Q261" si="1238">+P261+O261+N261</f>
        <v>0</v>
      </c>
      <c r="R261" s="88">
        <f t="shared" ref="R261:R272" si="1239">+Q261+M261</f>
        <v>1579.6</v>
      </c>
      <c r="S261" s="87">
        <v>120</v>
      </c>
      <c r="V261" s="22">
        <f t="shared" ref="V261" si="1240">ROUND(H261*1.0583,2)</f>
        <v>1456.08</v>
      </c>
      <c r="W261" s="22">
        <f t="shared" ref="W261" si="1241">ROUND(I261*1.0327,2)</f>
        <v>277.23</v>
      </c>
      <c r="X261" s="22">
        <f t="shared" si="1203"/>
        <v>123.51999999999998</v>
      </c>
      <c r="Y261" s="22">
        <f t="shared" si="1204"/>
        <v>-157.23000000000002</v>
      </c>
      <c r="Z261" s="22">
        <v>1456.08</v>
      </c>
      <c r="AA261" s="22"/>
      <c r="AB261" s="22">
        <f t="shared" si="1205"/>
        <v>1456.08</v>
      </c>
      <c r="AC261" s="109">
        <f t="shared" si="1206"/>
        <v>0</v>
      </c>
      <c r="AD261" s="22">
        <f t="shared" ref="AD261" si="1242">IF(X261&gt;0,V261,R261)</f>
        <v>1456.08</v>
      </c>
      <c r="AE261" s="22">
        <f t="shared" ref="AE261" si="1243">IF(Y261&gt;0,W261,S261)</f>
        <v>120</v>
      </c>
      <c r="AF261" s="22">
        <f t="shared" si="1209"/>
        <v>108.26</v>
      </c>
      <c r="AG261" s="108">
        <f t="shared" si="1210"/>
        <v>364</v>
      </c>
      <c r="AH261" s="108">
        <f t="shared" si="1211"/>
        <v>30</v>
      </c>
      <c r="AI261" s="127">
        <f t="shared" si="1212"/>
        <v>121</v>
      </c>
      <c r="AJ261" s="108">
        <f t="shared" si="1213"/>
        <v>10</v>
      </c>
      <c r="AM261" s="108">
        <f t="shared" si="1214"/>
        <v>364.02</v>
      </c>
      <c r="AN261" s="108">
        <f t="shared" si="1215"/>
        <v>29.22</v>
      </c>
      <c r="AQ261" s="108">
        <f t="shared" si="1216"/>
        <v>728.02</v>
      </c>
      <c r="AR261" s="108">
        <f t="shared" si="1217"/>
        <v>59.22</v>
      </c>
      <c r="AU261" s="108">
        <f t="shared" si="1054"/>
        <v>364.02</v>
      </c>
      <c r="AV261" s="108">
        <f t="shared" si="1153"/>
        <v>30</v>
      </c>
      <c r="AY261" s="108">
        <f t="shared" si="1218"/>
        <v>1213.04</v>
      </c>
      <c r="AZ261" s="108">
        <f t="shared" si="1219"/>
        <v>99.22</v>
      </c>
      <c r="BA261" s="108">
        <f t="shared" si="1220"/>
        <v>1312.26</v>
      </c>
      <c r="BB261" s="139">
        <v>1135.1300000000001</v>
      </c>
      <c r="BC261" s="139">
        <v>81.540000000000006</v>
      </c>
      <c r="BD261" s="139">
        <f t="shared" si="1221"/>
        <v>77.909999999999854</v>
      </c>
      <c r="BE261" s="139">
        <f t="shared" si="1222"/>
        <v>17.679999999999993</v>
      </c>
      <c r="BF261" s="139">
        <f t="shared" si="1223"/>
        <v>227.03</v>
      </c>
      <c r="BG261" s="139">
        <f t="shared" si="1224"/>
        <v>16.309999999999999</v>
      </c>
      <c r="BH261" s="108">
        <v>74.56</v>
      </c>
      <c r="BI261" s="108">
        <v>0</v>
      </c>
      <c r="BL261" s="108">
        <f t="shared" ref="BL261:BL306" si="1244">+BH261+AY261+BJ261</f>
        <v>1287.5999999999999</v>
      </c>
      <c r="BM261" s="108">
        <f t="shared" si="951"/>
        <v>99.22</v>
      </c>
      <c r="BN261" s="108">
        <f t="shared" si="952"/>
        <v>1386.82</v>
      </c>
      <c r="BO261" s="108">
        <v>1256.94</v>
      </c>
      <c r="BP261" s="127">
        <v>83.92</v>
      </c>
      <c r="BQ261" s="108">
        <f t="shared" si="953"/>
        <v>30.659999999999854</v>
      </c>
      <c r="BR261" s="108">
        <f t="shared" si="954"/>
        <v>15.299999999999997</v>
      </c>
      <c r="BS261" s="108">
        <f t="shared" si="955"/>
        <v>114.27</v>
      </c>
      <c r="BT261" s="108">
        <f t="shared" si="956"/>
        <v>7.63</v>
      </c>
      <c r="BU261" s="108">
        <v>83.61</v>
      </c>
      <c r="BV261" s="108">
        <v>0</v>
      </c>
      <c r="BW261" s="109">
        <v>18.79</v>
      </c>
      <c r="BX261" s="108">
        <f>16+0.28</f>
        <v>16.28</v>
      </c>
      <c r="CA261" s="108">
        <v>1389.9999999999998</v>
      </c>
      <c r="CB261" s="108">
        <v>115.5</v>
      </c>
      <c r="CC261">
        <v>1529</v>
      </c>
      <c r="CD261">
        <v>132.83000000000001</v>
      </c>
      <c r="CE261" s="189">
        <v>127</v>
      </c>
      <c r="CF261" s="189">
        <v>11</v>
      </c>
      <c r="CG261" s="189">
        <f t="shared" si="957"/>
        <v>347.5</v>
      </c>
      <c r="CH261" s="189">
        <f t="shared" si="958"/>
        <v>28.88</v>
      </c>
      <c r="CI261" s="150"/>
      <c r="CJ261" s="150"/>
      <c r="CK261" s="150">
        <v>400</v>
      </c>
      <c r="CL261" s="150">
        <v>0</v>
      </c>
      <c r="CM261" s="150"/>
      <c r="CN261" s="150"/>
      <c r="CO261" s="150">
        <v>1672</v>
      </c>
      <c r="CP261" s="150">
        <v>140</v>
      </c>
      <c r="CQ261" s="150">
        <f t="shared" si="959"/>
        <v>1600</v>
      </c>
      <c r="CR261" s="150">
        <f t="shared" si="960"/>
        <v>0</v>
      </c>
      <c r="CS261" s="150">
        <f t="shared" si="961"/>
        <v>1600</v>
      </c>
      <c r="CT261" s="150">
        <f>IF(CP261&lt;CR261,CP261,CR261)+120</f>
        <v>120</v>
      </c>
      <c r="CU261" s="150">
        <f t="shared" ref="CU261" si="1245">IF(CQ261&lt;CS261,CQ261,CS261)</f>
        <v>1600</v>
      </c>
      <c r="CV261" s="150">
        <f>IF(CR261&lt;CT261,CR261,CT261)+120</f>
        <v>120</v>
      </c>
      <c r="CW261" s="150">
        <f t="shared" si="963"/>
        <v>400</v>
      </c>
      <c r="CX261" s="150">
        <f t="shared" si="963"/>
        <v>30</v>
      </c>
      <c r="CY261" s="150"/>
      <c r="CZ261" s="150"/>
      <c r="DA261" s="150">
        <f t="shared" si="964"/>
        <v>927</v>
      </c>
      <c r="DB261" s="150">
        <f t="shared" si="965"/>
        <v>41</v>
      </c>
      <c r="DC261" s="150">
        <v>898.02</v>
      </c>
      <c r="DD261" s="150">
        <v>18.04</v>
      </c>
      <c r="DE261" s="150">
        <f t="shared" si="966"/>
        <v>28.980000000000018</v>
      </c>
      <c r="DF261" s="150">
        <f t="shared" si="967"/>
        <v>22.96</v>
      </c>
      <c r="DG261" s="150">
        <f>ROUND(0.25*(MIN(CU261,DO261)),2)</f>
        <v>400</v>
      </c>
      <c r="DH261" s="150">
        <f>ROUND(0.25*(MIN(CV261,DP261)),2)</f>
        <v>30</v>
      </c>
      <c r="DI261" s="150">
        <f>+DG261-DE261</f>
        <v>371.02</v>
      </c>
      <c r="DJ261" s="150">
        <f>+DH261-DF261</f>
        <v>7.0399999999999991</v>
      </c>
      <c r="DK261" s="104">
        <f t="shared" si="1157"/>
        <v>301.98</v>
      </c>
      <c r="DL261" s="104">
        <f t="shared" si="1158"/>
        <v>72.960000000000008</v>
      </c>
      <c r="DM261" s="104">
        <f t="shared" ref="DM261:DM310" si="1246">+CU261-DA261-DI261</f>
        <v>301.98</v>
      </c>
      <c r="DN261" s="104">
        <f t="shared" ref="DN261:DN310" si="1247">+CV261-DB261-DJ261</f>
        <v>71.960000000000008</v>
      </c>
      <c r="DO261" s="104">
        <v>1600</v>
      </c>
      <c r="DP261" s="104">
        <v>121</v>
      </c>
      <c r="DQ261" s="104">
        <v>1835</v>
      </c>
      <c r="DR261" s="104">
        <v>205</v>
      </c>
    </row>
    <row r="262" spans="1:127" ht="37.5">
      <c r="A262" s="45"/>
      <c r="B262" s="45"/>
      <c r="C262" s="46"/>
      <c r="D262" s="47" t="s">
        <v>424</v>
      </c>
      <c r="E262" s="48" t="s">
        <v>425</v>
      </c>
      <c r="F262" s="65">
        <v>13093.32</v>
      </c>
      <c r="G262" s="65">
        <v>3186.75</v>
      </c>
      <c r="H262" s="65">
        <v>13128.09</v>
      </c>
      <c r="I262" s="65">
        <v>3156.9800000000005</v>
      </c>
      <c r="J262" s="97">
        <f t="shared" ref="J262:AA262" si="1248">+J261+J260+J256+J253+J248</f>
        <v>14884.23</v>
      </c>
      <c r="K262" s="97">
        <f t="shared" si="1248"/>
        <v>0</v>
      </c>
      <c r="L262" s="97">
        <f t="shared" si="1248"/>
        <v>0.3</v>
      </c>
      <c r="M262" s="97">
        <f t="shared" si="1248"/>
        <v>14884.529999999999</v>
      </c>
      <c r="N262" s="97">
        <f t="shared" si="1248"/>
        <v>279.44</v>
      </c>
      <c r="O262" s="97">
        <f t="shared" si="1248"/>
        <v>0</v>
      </c>
      <c r="P262" s="97">
        <f t="shared" si="1248"/>
        <v>0</v>
      </c>
      <c r="Q262" s="97">
        <f t="shared" si="1248"/>
        <v>279.44</v>
      </c>
      <c r="R262" s="97">
        <f t="shared" si="1248"/>
        <v>15163.969999999998</v>
      </c>
      <c r="S262" s="97">
        <f t="shared" si="1248"/>
        <v>3175</v>
      </c>
      <c r="T262" s="97">
        <f t="shared" si="1248"/>
        <v>0</v>
      </c>
      <c r="U262" s="97">
        <f t="shared" si="1248"/>
        <v>0</v>
      </c>
      <c r="V262" s="97">
        <f t="shared" si="1248"/>
        <v>13893.46</v>
      </c>
      <c r="W262" s="97">
        <f t="shared" si="1248"/>
        <v>3260.21</v>
      </c>
      <c r="X262" s="97">
        <f t="shared" si="1248"/>
        <v>1270.5099999999998</v>
      </c>
      <c r="Y262" s="97">
        <f t="shared" si="1248"/>
        <v>-85.210000000000036</v>
      </c>
      <c r="Z262" s="97">
        <f t="shared" si="1248"/>
        <v>13638.880000000001</v>
      </c>
      <c r="AA262" s="97">
        <f t="shared" si="1248"/>
        <v>222.7</v>
      </c>
      <c r="AB262" s="65">
        <f t="shared" si="1205"/>
        <v>13861.580000000002</v>
      </c>
      <c r="AC262" s="109">
        <f t="shared" si="1206"/>
        <v>0</v>
      </c>
      <c r="AD262" s="65">
        <f t="shared" ref="AD262:BY262" si="1249">+AD261+AD260+AD256+AD253+AD248</f>
        <v>13861.58</v>
      </c>
      <c r="AE262" s="65">
        <f t="shared" si="1249"/>
        <v>2854.76</v>
      </c>
      <c r="AF262" s="65">
        <f t="shared" si="1249"/>
        <v>2864.48</v>
      </c>
      <c r="AG262" s="65">
        <f t="shared" si="1249"/>
        <v>3465</v>
      </c>
      <c r="AH262" s="65">
        <f t="shared" si="1249"/>
        <v>717</v>
      </c>
      <c r="AI262" s="129">
        <f t="shared" si="1249"/>
        <v>1155</v>
      </c>
      <c r="AJ262" s="129">
        <f t="shared" si="1249"/>
        <v>239</v>
      </c>
      <c r="AK262" s="129">
        <f t="shared" si="1249"/>
        <v>0</v>
      </c>
      <c r="AL262" s="129">
        <f t="shared" si="1249"/>
        <v>100</v>
      </c>
      <c r="AM262" s="129">
        <f t="shared" si="1249"/>
        <v>3465.4100000000003</v>
      </c>
      <c r="AN262" s="129">
        <f t="shared" si="1249"/>
        <v>685.48</v>
      </c>
      <c r="AO262" s="129">
        <f t="shared" si="1249"/>
        <v>0</v>
      </c>
      <c r="AP262" s="129">
        <f t="shared" si="1249"/>
        <v>0</v>
      </c>
      <c r="AQ262" s="129">
        <f t="shared" si="1249"/>
        <v>6930.41</v>
      </c>
      <c r="AR262" s="129">
        <f t="shared" si="1249"/>
        <v>1502.48</v>
      </c>
      <c r="AS262" s="129">
        <f t="shared" si="1249"/>
        <v>0</v>
      </c>
      <c r="AT262" s="129">
        <f t="shared" si="1249"/>
        <v>0</v>
      </c>
      <c r="AU262" s="129">
        <f t="shared" si="1249"/>
        <v>3465.4100000000003</v>
      </c>
      <c r="AV262" s="129">
        <f t="shared" si="1249"/>
        <v>652.43999999999994</v>
      </c>
      <c r="AW262" s="129">
        <f t="shared" si="1249"/>
        <v>0</v>
      </c>
      <c r="AX262" s="129">
        <f t="shared" si="1249"/>
        <v>643.03</v>
      </c>
      <c r="AY262" s="129">
        <f t="shared" si="1249"/>
        <v>11550.82</v>
      </c>
      <c r="AZ262" s="129">
        <f t="shared" si="1249"/>
        <v>3036.95</v>
      </c>
      <c r="BA262" s="129">
        <f t="shared" si="1249"/>
        <v>14587.77</v>
      </c>
      <c r="BB262" s="129">
        <f t="shared" si="1249"/>
        <v>11324.33</v>
      </c>
      <c r="BC262" s="129">
        <f t="shared" si="1249"/>
        <v>2921.1000000000004</v>
      </c>
      <c r="BD262" s="129">
        <f t="shared" si="1249"/>
        <v>226.49000000000012</v>
      </c>
      <c r="BE262" s="129">
        <f t="shared" si="1249"/>
        <v>115.84999999999997</v>
      </c>
      <c r="BF262" s="129">
        <f t="shared" si="1249"/>
        <v>2264.88</v>
      </c>
      <c r="BG262" s="129">
        <f t="shared" si="1249"/>
        <v>584.23</v>
      </c>
      <c r="BH262" s="129">
        <f t="shared" si="1249"/>
        <v>1008.92</v>
      </c>
      <c r="BI262" s="129">
        <f t="shared" si="1249"/>
        <v>164.5</v>
      </c>
      <c r="BJ262" s="129">
        <f t="shared" si="1249"/>
        <v>0</v>
      </c>
      <c r="BK262" s="129">
        <f t="shared" si="1249"/>
        <v>150</v>
      </c>
      <c r="BL262" s="129">
        <f t="shared" si="1249"/>
        <v>12559.740000000002</v>
      </c>
      <c r="BM262" s="129">
        <f t="shared" si="1249"/>
        <v>3351.45</v>
      </c>
      <c r="BN262" s="129">
        <f t="shared" si="1249"/>
        <v>15911.190000000002</v>
      </c>
      <c r="BO262" s="129">
        <f t="shared" si="1249"/>
        <v>12191.48</v>
      </c>
      <c r="BP262" s="129">
        <f t="shared" si="1249"/>
        <v>3233.2799999999997</v>
      </c>
      <c r="BQ262" s="65">
        <f t="shared" si="1249"/>
        <v>368.26000000000033</v>
      </c>
      <c r="BR262" s="65">
        <f t="shared" si="1249"/>
        <v>118.17000000000016</v>
      </c>
      <c r="BS262" s="65">
        <f t="shared" si="1249"/>
        <v>1108.31</v>
      </c>
      <c r="BT262" s="65">
        <f t="shared" si="1249"/>
        <v>293.94</v>
      </c>
      <c r="BU262" s="65">
        <f t="shared" si="1249"/>
        <v>845.51</v>
      </c>
      <c r="BV262" s="65">
        <f t="shared" si="1249"/>
        <v>214.5</v>
      </c>
      <c r="BW262" s="65">
        <f t="shared" si="1249"/>
        <v>629.66</v>
      </c>
      <c r="BX262" s="65">
        <f t="shared" si="1249"/>
        <v>126.68</v>
      </c>
      <c r="BY262" s="65">
        <f t="shared" si="1249"/>
        <v>0</v>
      </c>
      <c r="BZ262" s="65">
        <f>+BZ261+BZ260+BZ256+BZ253+BZ248</f>
        <v>0</v>
      </c>
      <c r="CA262" s="65">
        <f t="shared" ref="CA262:CF262" si="1250">+CA261+CA260+CA256+CA253+CA248</f>
        <v>14034.91</v>
      </c>
      <c r="CB262" s="65">
        <f t="shared" si="1250"/>
        <v>3692.63</v>
      </c>
      <c r="CC262" s="65">
        <f t="shared" si="1250"/>
        <v>15438.41</v>
      </c>
      <c r="CD262" s="129">
        <f t="shared" si="1250"/>
        <v>4246.53</v>
      </c>
      <c r="CE262" s="190">
        <f t="shared" si="1250"/>
        <v>1288</v>
      </c>
      <c r="CF262" s="190">
        <f t="shared" si="1250"/>
        <v>355</v>
      </c>
      <c r="CG262" s="190">
        <f t="shared" ref="CG262" si="1251">+CG261+CG260+CG256+CG253+CG248</f>
        <v>3508.7300000000005</v>
      </c>
      <c r="CH262" s="190">
        <f t="shared" ref="CH262" si="1252">+CH261+CH260+CH256+CH253+CH248</f>
        <v>923.17</v>
      </c>
      <c r="CI262" s="190">
        <f t="shared" ref="CI262" si="1253">+CI261+CI260+CI256+CI253+CI248</f>
        <v>0</v>
      </c>
      <c r="CJ262" s="190">
        <f t="shared" ref="CJ262" si="1254">+CJ261+CJ260+CJ256+CJ253+CJ248</f>
        <v>0</v>
      </c>
      <c r="CK262" s="190">
        <f t="shared" ref="CK262" si="1255">+CK261+CK260+CK256+CK253+CK248</f>
        <v>3754.75</v>
      </c>
      <c r="CL262" s="190">
        <f t="shared" ref="CL262:DT262" si="1256">+CL261+CL260+CL256+CL253+CL248</f>
        <v>706</v>
      </c>
      <c r="CM262" s="190">
        <f t="shared" si="1256"/>
        <v>50</v>
      </c>
      <c r="CN262" s="190">
        <f t="shared" si="1256"/>
        <v>193.7</v>
      </c>
      <c r="CO262" s="190">
        <f t="shared" si="1256"/>
        <v>16724.88</v>
      </c>
      <c r="CP262" s="190">
        <f t="shared" si="1256"/>
        <v>3827.7</v>
      </c>
      <c r="CQ262" s="190">
        <f t="shared" si="1256"/>
        <v>15019</v>
      </c>
      <c r="CR262" s="190">
        <f t="shared" si="1256"/>
        <v>2824</v>
      </c>
      <c r="CS262" s="190">
        <f t="shared" si="1256"/>
        <v>14845.390000000001</v>
      </c>
      <c r="CT262" s="190">
        <f t="shared" si="1256"/>
        <v>2912.7</v>
      </c>
      <c r="CU262" s="190">
        <f t="shared" si="1256"/>
        <v>15080.390000000001</v>
      </c>
      <c r="CV262" s="190">
        <f t="shared" si="1256"/>
        <v>3644.73</v>
      </c>
      <c r="CW262" s="190">
        <f t="shared" si="1256"/>
        <v>3870.1099999999997</v>
      </c>
      <c r="CX262" s="190">
        <f t="shared" si="1256"/>
        <v>832.93000000000006</v>
      </c>
      <c r="CY262" s="190">
        <f t="shared" si="1256"/>
        <v>25</v>
      </c>
      <c r="CZ262" s="190">
        <f t="shared" si="1256"/>
        <v>128.82999999999998</v>
      </c>
      <c r="DA262" s="190">
        <f t="shared" si="1256"/>
        <v>8987.86</v>
      </c>
      <c r="DB262" s="190">
        <f t="shared" si="1256"/>
        <v>2216.46</v>
      </c>
      <c r="DC262" s="190">
        <f t="shared" si="1256"/>
        <v>8689.6200000000008</v>
      </c>
      <c r="DD262" s="190">
        <f t="shared" si="1256"/>
        <v>2011.8</v>
      </c>
      <c r="DE262" s="190">
        <f t="shared" si="1256"/>
        <v>298.2399999999999</v>
      </c>
      <c r="DF262" s="190">
        <f t="shared" si="1256"/>
        <v>204.65999999999997</v>
      </c>
      <c r="DG262" s="190">
        <f t="shared" si="1256"/>
        <v>3747.46</v>
      </c>
      <c r="DH262" s="190">
        <f t="shared" si="1256"/>
        <v>894.31</v>
      </c>
      <c r="DI262" s="190">
        <f t="shared" si="1256"/>
        <v>3404.1400000000003</v>
      </c>
      <c r="DJ262" s="190">
        <f t="shared" si="1256"/>
        <v>743.67000000000007</v>
      </c>
      <c r="DK262" s="104">
        <f t="shared" si="1157"/>
        <v>2991.9099999999989</v>
      </c>
      <c r="DL262" s="104">
        <f t="shared" si="1158"/>
        <v>1188.6999999999998</v>
      </c>
      <c r="DM262" s="104">
        <f t="shared" si="1246"/>
        <v>2688.3900000000003</v>
      </c>
      <c r="DN262" s="104">
        <f t="shared" si="1247"/>
        <v>684.59999999999991</v>
      </c>
      <c r="DO262" s="65">
        <f t="shared" si="1256"/>
        <v>15383.91</v>
      </c>
      <c r="DP262" s="65">
        <f t="shared" si="1256"/>
        <v>4148.83</v>
      </c>
      <c r="DQ262" s="65">
        <f t="shared" si="1256"/>
        <v>17901.21</v>
      </c>
      <c r="DR262" s="65">
        <f t="shared" si="1256"/>
        <v>4476.16</v>
      </c>
      <c r="DS262" s="65">
        <f t="shared" si="1256"/>
        <v>0</v>
      </c>
      <c r="DT262" s="65">
        <f t="shared" si="1256"/>
        <v>0</v>
      </c>
    </row>
    <row r="263" spans="1:127" ht="18.75">
      <c r="A263" s="18">
        <v>1</v>
      </c>
      <c r="B263" s="18" t="s">
        <v>426</v>
      </c>
      <c r="C263" s="19" t="s">
        <v>40</v>
      </c>
      <c r="D263" s="7" t="s">
        <v>427</v>
      </c>
      <c r="E263" s="21" t="s">
        <v>428</v>
      </c>
      <c r="F263" s="81">
        <v>2829</v>
      </c>
      <c r="G263" s="81">
        <v>714.89999999999986</v>
      </c>
      <c r="H263" s="81">
        <v>2829</v>
      </c>
      <c r="I263" s="22">
        <v>714.89999999999986</v>
      </c>
      <c r="J263" s="88">
        <v>3220</v>
      </c>
      <c r="K263" s="88">
        <v>0</v>
      </c>
      <c r="L263" s="88">
        <v>0</v>
      </c>
      <c r="M263" s="88">
        <f t="shared" si="1237"/>
        <v>3220</v>
      </c>
      <c r="N263" s="88">
        <v>0</v>
      </c>
      <c r="O263" s="88">
        <v>0</v>
      </c>
      <c r="P263" s="88">
        <v>0</v>
      </c>
      <c r="Q263" s="88">
        <f t="shared" ref="Q263:Q264" si="1257">+P263+O263+N263</f>
        <v>0</v>
      </c>
      <c r="R263" s="88">
        <f t="shared" si="1239"/>
        <v>3220</v>
      </c>
      <c r="S263" s="88">
        <v>500.33</v>
      </c>
      <c r="V263" s="22">
        <f t="shared" ref="V263:V264" si="1258">ROUND(H263*1.0583,2)</f>
        <v>2993.93</v>
      </c>
      <c r="W263" s="22">
        <f t="shared" ref="W263:W264" si="1259">ROUND(I263*1.0327,2)</f>
        <v>738.28</v>
      </c>
      <c r="X263" s="22">
        <f t="shared" si="1203"/>
        <v>226.07000000000016</v>
      </c>
      <c r="Y263" s="22">
        <f t="shared" si="1204"/>
        <v>-237.95</v>
      </c>
      <c r="Z263" s="22">
        <v>2993.93</v>
      </c>
      <c r="AA263" s="22"/>
      <c r="AB263" s="22">
        <f t="shared" si="1205"/>
        <v>2993.93</v>
      </c>
      <c r="AC263" s="109">
        <f t="shared" si="1206"/>
        <v>0</v>
      </c>
      <c r="AD263" s="22">
        <f t="shared" ref="AD263:AD264" si="1260">IF(X263&gt;0,V263,R263)</f>
        <v>2993.93</v>
      </c>
      <c r="AE263" s="119">
        <f t="shared" ref="AE263" si="1261">IF(Y263&gt;0,W263,S263)</f>
        <v>500.33</v>
      </c>
      <c r="AF263" s="22">
        <f t="shared" si="1209"/>
        <v>451.4</v>
      </c>
      <c r="AG263" s="108">
        <f t="shared" si="1210"/>
        <v>748</v>
      </c>
      <c r="AH263" s="108">
        <f t="shared" si="1211"/>
        <v>125</v>
      </c>
      <c r="AI263" s="127">
        <f t="shared" si="1212"/>
        <v>249</v>
      </c>
      <c r="AJ263" s="108">
        <f t="shared" si="1213"/>
        <v>42</v>
      </c>
      <c r="AL263" s="143">
        <v>170</v>
      </c>
      <c r="AM263" s="108">
        <f t="shared" si="1214"/>
        <v>748.48</v>
      </c>
      <c r="AN263" s="108">
        <f t="shared" si="1215"/>
        <v>121.83</v>
      </c>
      <c r="AQ263" s="108">
        <f t="shared" si="1216"/>
        <v>1496.48</v>
      </c>
      <c r="AR263" s="108">
        <f t="shared" si="1217"/>
        <v>416.83</v>
      </c>
      <c r="AT263" s="116"/>
      <c r="AU263" s="116">
        <f t="shared" si="1054"/>
        <v>748.48</v>
      </c>
      <c r="AV263" s="116">
        <f>ROUND(AE263*25%,2)</f>
        <v>125.08</v>
      </c>
      <c r="AW263" s="143">
        <v>280</v>
      </c>
      <c r="AX263" s="143">
        <v>179.92</v>
      </c>
      <c r="AY263" s="116">
        <f t="shared" si="1218"/>
        <v>2773.96</v>
      </c>
      <c r="AZ263" s="108">
        <f t="shared" si="1219"/>
        <v>763.82999999999993</v>
      </c>
      <c r="BA263" s="108">
        <f t="shared" si="1220"/>
        <v>3537.79</v>
      </c>
      <c r="BB263" s="139">
        <v>2379.86</v>
      </c>
      <c r="BC263" s="139">
        <v>807.06</v>
      </c>
      <c r="BD263" s="139">
        <f t="shared" si="1221"/>
        <v>394.09999999999991</v>
      </c>
      <c r="BE263" s="139">
        <f t="shared" si="1222"/>
        <v>-43.230000000000018</v>
      </c>
      <c r="BF263" s="139">
        <f t="shared" si="1223"/>
        <v>475.97</v>
      </c>
      <c r="BG263" s="139">
        <f t="shared" si="1224"/>
        <v>161.41</v>
      </c>
      <c r="BH263" s="108">
        <v>0</v>
      </c>
      <c r="BI263" s="108">
        <v>14.82</v>
      </c>
      <c r="BL263" s="108">
        <f t="shared" si="1244"/>
        <v>2773.96</v>
      </c>
      <c r="BM263" s="108">
        <f t="shared" ref="BM263:BM309" si="1262">+BI263+AZ263+BK263</f>
        <v>778.65</v>
      </c>
      <c r="BN263" s="108">
        <f t="shared" ref="BN263:BN309" si="1263">BL263+BM263</f>
        <v>3552.61</v>
      </c>
      <c r="BO263" s="108">
        <v>2649.49</v>
      </c>
      <c r="BP263" s="127">
        <v>816.61</v>
      </c>
      <c r="BQ263" s="108">
        <f t="shared" ref="BQ263:BQ309" si="1264">BL263-BO263</f>
        <v>124.47000000000025</v>
      </c>
      <c r="BR263" s="108">
        <f t="shared" ref="BR263:BR309" si="1265">BM263-BP263</f>
        <v>-37.960000000000036</v>
      </c>
      <c r="BS263" s="108">
        <f t="shared" ref="BS263:BS309" si="1266">ROUND(BO263/11,2)</f>
        <v>240.86</v>
      </c>
      <c r="BT263" s="108">
        <f t="shared" ref="BT263:BT309" si="1267">ROUND(BP263/11,2)</f>
        <v>74.239999999999995</v>
      </c>
      <c r="BU263" s="109">
        <v>140</v>
      </c>
      <c r="BV263" s="143">
        <v>46.64</v>
      </c>
      <c r="BW263" s="143">
        <v>14.85</v>
      </c>
      <c r="BX263" s="143"/>
      <c r="BY263" s="143"/>
      <c r="BZ263" s="143"/>
      <c r="CA263" s="108">
        <v>2928.81</v>
      </c>
      <c r="CB263" s="108">
        <v>825.29</v>
      </c>
      <c r="CC263">
        <v>3221.69</v>
      </c>
      <c r="CD263">
        <v>949.08</v>
      </c>
      <c r="CE263" s="189">
        <v>268</v>
      </c>
      <c r="CF263" s="189">
        <v>79</v>
      </c>
      <c r="CG263" s="189">
        <f t="shared" ref="CG263:CG309" si="1268">ROUND(CA263/12*3,2)</f>
        <v>732.2</v>
      </c>
      <c r="CH263" s="189">
        <f t="shared" ref="CH263:CH309" si="1269">ROUND(CB263/12*3,2)</f>
        <v>206.32</v>
      </c>
      <c r="CI263" s="150"/>
      <c r="CJ263" s="150"/>
      <c r="CK263" s="150">
        <f>1000-150</f>
        <v>850</v>
      </c>
      <c r="CL263" s="150">
        <v>130</v>
      </c>
      <c r="CM263" s="150"/>
      <c r="CN263" s="150"/>
      <c r="CO263" s="150">
        <v>3280</v>
      </c>
      <c r="CP263" s="150">
        <v>450</v>
      </c>
      <c r="CQ263" s="150">
        <f t="shared" ref="CQ263:CQ309" si="1270">ROUND(CK263/3*12,2)</f>
        <v>3400</v>
      </c>
      <c r="CR263" s="150">
        <f t="shared" ref="CR263:CR309" si="1271">ROUND(CL263/3*12,2)</f>
        <v>520</v>
      </c>
      <c r="CS263" s="150">
        <f t="shared" ref="CS263:CU309" si="1272">IF(CO263&lt;CQ263,CO263,CQ263)</f>
        <v>3280</v>
      </c>
      <c r="CT263" s="150">
        <f t="shared" ref="CT263:CV309" si="1273">IF(CP263&lt;CR263,CP263,CR263)</f>
        <v>450</v>
      </c>
      <c r="CU263" s="150">
        <f t="shared" ref="CU263:CU264" si="1274">IF(CQ263&lt;CS263,CQ263,CS263)</f>
        <v>3280</v>
      </c>
      <c r="CV263" s="150">
        <f t="shared" ref="CV263" si="1275">IF(CR263&lt;CT263,CR263,CT263)</f>
        <v>450</v>
      </c>
      <c r="CW263" s="150">
        <f t="shared" ref="CW263:CW309" si="1276">ROUND(CU263*25%,2)</f>
        <v>820</v>
      </c>
      <c r="CX263" s="150">
        <f>ROUND(CV263*25%,2)-30</f>
        <v>82.5</v>
      </c>
      <c r="CY263" s="150"/>
      <c r="CZ263" s="150"/>
      <c r="DA263" s="150">
        <f t="shared" ref="DA263:DA309" si="1277">+CY263+CW263+CM263+CK263+CE263</f>
        <v>1938</v>
      </c>
      <c r="DB263" s="150">
        <f t="shared" ref="DB263:DB309" si="1278">+CZ263+CX263+CN263+CL263+CF263</f>
        <v>291.5</v>
      </c>
      <c r="DC263" s="150">
        <v>1715.58</v>
      </c>
      <c r="DD263" s="150">
        <v>273.37</v>
      </c>
      <c r="DE263" s="150">
        <f t="shared" ref="DE263:DE309" si="1279">+DA263-DC263</f>
        <v>222.42000000000007</v>
      </c>
      <c r="DF263" s="150">
        <f t="shared" ref="DF263:DF309" si="1280">+DB263-DD263</f>
        <v>18.129999999999995</v>
      </c>
      <c r="DG263" s="150">
        <f>ROUND(0.25*(MIN(CU263,DO263)),2)</f>
        <v>820</v>
      </c>
      <c r="DH263" s="150">
        <f>ROUND(0.25*(MIN(CV263,DP263)),2)</f>
        <v>112.5</v>
      </c>
      <c r="DI263" s="150">
        <f>+DG263-DE263</f>
        <v>597.57999999999993</v>
      </c>
      <c r="DJ263" s="150">
        <f>+DH263-DF263</f>
        <v>94.37</v>
      </c>
      <c r="DK263" s="104">
        <f t="shared" si="1157"/>
        <v>842.65000000000009</v>
      </c>
      <c r="DL263" s="104">
        <f t="shared" si="1158"/>
        <v>362.25</v>
      </c>
      <c r="DM263" s="104">
        <f t="shared" si="1246"/>
        <v>744.42000000000007</v>
      </c>
      <c r="DN263" s="104">
        <f t="shared" si="1247"/>
        <v>64.13</v>
      </c>
      <c r="DO263">
        <v>3378.23</v>
      </c>
      <c r="DP263" s="104">
        <v>748.12</v>
      </c>
      <c r="DQ263" s="104">
        <v>3544.46</v>
      </c>
      <c r="DR263" s="104">
        <v>1198.25</v>
      </c>
    </row>
    <row r="264" spans="1:127" ht="18.75">
      <c r="A264" s="18">
        <v>2</v>
      </c>
      <c r="B264" s="18" t="s">
        <v>429</v>
      </c>
      <c r="C264" s="19" t="s">
        <v>40</v>
      </c>
      <c r="D264" s="20" t="s">
        <v>430</v>
      </c>
      <c r="E264" s="21" t="s">
        <v>431</v>
      </c>
      <c r="F264" s="81">
        <v>697.83</v>
      </c>
      <c r="G264" s="81">
        <v>89.22</v>
      </c>
      <c r="H264" s="81">
        <v>697.83</v>
      </c>
      <c r="I264" s="22">
        <v>89.22</v>
      </c>
      <c r="J264" s="88">
        <v>750</v>
      </c>
      <c r="K264" s="88">
        <v>0</v>
      </c>
      <c r="L264" s="88">
        <v>0</v>
      </c>
      <c r="M264" s="88">
        <f t="shared" si="1237"/>
        <v>750</v>
      </c>
      <c r="N264" s="88">
        <v>0</v>
      </c>
      <c r="O264" s="88">
        <v>0</v>
      </c>
      <c r="P264" s="88">
        <v>0</v>
      </c>
      <c r="Q264" s="88">
        <f t="shared" si="1257"/>
        <v>0</v>
      </c>
      <c r="R264" s="88">
        <f t="shared" si="1239"/>
        <v>750</v>
      </c>
      <c r="S264" s="88">
        <v>95</v>
      </c>
      <c r="V264" s="22">
        <f t="shared" si="1258"/>
        <v>738.51</v>
      </c>
      <c r="W264" s="22">
        <f t="shared" si="1259"/>
        <v>92.14</v>
      </c>
      <c r="X264" s="22">
        <f t="shared" si="1203"/>
        <v>11.490000000000009</v>
      </c>
      <c r="Y264" s="22">
        <f t="shared" si="1204"/>
        <v>2.8599999999999994</v>
      </c>
      <c r="Z264" s="22">
        <v>738.51</v>
      </c>
      <c r="AA264" s="22"/>
      <c r="AB264" s="22">
        <f t="shared" si="1205"/>
        <v>738.51</v>
      </c>
      <c r="AC264" s="109">
        <f t="shared" si="1206"/>
        <v>0</v>
      </c>
      <c r="AD264" s="22">
        <f t="shared" si="1260"/>
        <v>738.51</v>
      </c>
      <c r="AE264" s="22">
        <f>IF(Y264&gt;0,W264,S264)-61.14</f>
        <v>31</v>
      </c>
      <c r="AF264" s="22">
        <f t="shared" si="1209"/>
        <v>85.71</v>
      </c>
      <c r="AG264" s="108">
        <f t="shared" si="1210"/>
        <v>185</v>
      </c>
      <c r="AH264" s="108">
        <v>23</v>
      </c>
      <c r="AI264" s="127">
        <f t="shared" si="1212"/>
        <v>62</v>
      </c>
      <c r="AJ264" s="108">
        <v>8</v>
      </c>
      <c r="AM264" s="108">
        <f t="shared" si="1214"/>
        <v>184.63</v>
      </c>
      <c r="AN264" s="108">
        <f>ROUND(AE264*24.35%,2)-7.55</f>
        <v>0</v>
      </c>
      <c r="AQ264" s="108">
        <f t="shared" si="1216"/>
        <v>369.63</v>
      </c>
      <c r="AR264" s="108">
        <f t="shared" si="1217"/>
        <v>23</v>
      </c>
      <c r="AT264" s="116"/>
      <c r="AU264" s="116">
        <f t="shared" si="1054"/>
        <v>184.63</v>
      </c>
      <c r="AV264" s="116">
        <f>ROUND(AE264*25%,2)-7.75</f>
        <v>0</v>
      </c>
      <c r="AW264" s="143">
        <v>10</v>
      </c>
      <c r="AX264" s="116"/>
      <c r="AY264" s="116">
        <f t="shared" si="1218"/>
        <v>626.26</v>
      </c>
      <c r="AZ264" s="108">
        <f t="shared" si="1219"/>
        <v>31</v>
      </c>
      <c r="BA264" s="108">
        <f t="shared" si="1220"/>
        <v>657.26</v>
      </c>
      <c r="BB264" s="139">
        <v>624.62</v>
      </c>
      <c r="BC264" s="139">
        <v>10.61</v>
      </c>
      <c r="BD264" s="139">
        <f t="shared" si="1221"/>
        <v>1.6399999999999864</v>
      </c>
      <c r="BE264" s="139">
        <f t="shared" si="1222"/>
        <v>20.39</v>
      </c>
      <c r="BF264" s="139">
        <f t="shared" si="1223"/>
        <v>124.92</v>
      </c>
      <c r="BG264" s="139">
        <f t="shared" si="1224"/>
        <v>2.12</v>
      </c>
      <c r="BH264" s="108">
        <v>59.14</v>
      </c>
      <c r="BI264" s="108">
        <v>0</v>
      </c>
      <c r="BJ264" s="108">
        <v>7</v>
      </c>
      <c r="BL264" s="108">
        <f t="shared" si="1244"/>
        <v>692.4</v>
      </c>
      <c r="BM264" s="108">
        <f t="shared" si="1262"/>
        <v>31</v>
      </c>
      <c r="BN264" s="108">
        <f t="shared" si="1263"/>
        <v>723.4</v>
      </c>
      <c r="BO264" s="108">
        <v>690.73</v>
      </c>
      <c r="BP264" s="127">
        <v>12.11</v>
      </c>
      <c r="BQ264" s="108">
        <f t="shared" si="1264"/>
        <v>1.6699999999999591</v>
      </c>
      <c r="BR264" s="108">
        <f t="shared" si="1265"/>
        <v>18.89</v>
      </c>
      <c r="BS264" s="108">
        <f t="shared" si="1266"/>
        <v>62.79</v>
      </c>
      <c r="BT264" s="108">
        <f t="shared" si="1267"/>
        <v>1.1000000000000001</v>
      </c>
      <c r="BU264" s="143">
        <v>60</v>
      </c>
      <c r="BV264" s="108">
        <v>0</v>
      </c>
      <c r="BW264" s="109">
        <v>25</v>
      </c>
      <c r="CA264" s="108">
        <v>777.4</v>
      </c>
      <c r="CB264" s="108">
        <v>31</v>
      </c>
      <c r="CC264">
        <v>855.14</v>
      </c>
      <c r="CD264">
        <v>35.65</v>
      </c>
      <c r="CE264" s="189">
        <v>71</v>
      </c>
      <c r="CF264" s="189">
        <v>117</v>
      </c>
      <c r="CG264" s="189">
        <f t="shared" si="1268"/>
        <v>194.35</v>
      </c>
      <c r="CH264" s="189">
        <f t="shared" si="1269"/>
        <v>7.75</v>
      </c>
      <c r="CI264" s="150"/>
      <c r="CJ264" s="150"/>
      <c r="CK264" s="150">
        <v>236</v>
      </c>
      <c r="CL264" s="150">
        <v>0</v>
      </c>
      <c r="CM264" s="150"/>
      <c r="CN264" s="150"/>
      <c r="CO264" s="150">
        <v>850</v>
      </c>
      <c r="CP264" s="150">
        <f>113+4</f>
        <v>117</v>
      </c>
      <c r="CQ264" s="150">
        <f t="shared" si="1270"/>
        <v>944</v>
      </c>
      <c r="CR264" s="150">
        <f>ROUND(CL264/3*12,2)+117</f>
        <v>117</v>
      </c>
      <c r="CS264" s="150">
        <f t="shared" si="1272"/>
        <v>850</v>
      </c>
      <c r="CT264" s="150">
        <f t="shared" si="1273"/>
        <v>117</v>
      </c>
      <c r="CU264" s="150">
        <f t="shared" si="1274"/>
        <v>850</v>
      </c>
      <c r="CV264" s="150">
        <f>IF(CR264&lt;CT264,CR264,CT264)+10</f>
        <v>127</v>
      </c>
      <c r="CW264" s="150">
        <f t="shared" si="1276"/>
        <v>212.5</v>
      </c>
      <c r="CX264" s="150">
        <v>0</v>
      </c>
      <c r="CY264" s="150"/>
      <c r="CZ264" s="150">
        <v>10</v>
      </c>
      <c r="DA264" s="150">
        <v>519.5</v>
      </c>
      <c r="DB264" s="150">
        <v>127</v>
      </c>
      <c r="DC264" s="150">
        <v>483.56</v>
      </c>
      <c r="DD264" s="150">
        <v>120.84</v>
      </c>
      <c r="DE264" s="150">
        <v>35.94</v>
      </c>
      <c r="DF264" s="150">
        <v>6.1599999999999966</v>
      </c>
      <c r="DG264" s="150">
        <v>212.5</v>
      </c>
      <c r="DH264" s="150">
        <v>29.25</v>
      </c>
      <c r="DI264" s="150">
        <v>176.56</v>
      </c>
      <c r="DJ264" s="150">
        <v>0</v>
      </c>
      <c r="DK264" s="104">
        <f t="shared" si="1157"/>
        <v>183.94</v>
      </c>
      <c r="DL264" s="104">
        <f t="shared" si="1158"/>
        <v>51</v>
      </c>
      <c r="DM264" s="104">
        <f t="shared" si="1246"/>
        <v>153.94</v>
      </c>
      <c r="DN264" s="104">
        <f t="shared" si="1247"/>
        <v>0</v>
      </c>
      <c r="DO264" s="104">
        <v>880</v>
      </c>
      <c r="DP264" s="104">
        <v>178</v>
      </c>
      <c r="DQ264" s="104">
        <v>968</v>
      </c>
      <c r="DR264" s="104">
        <v>10</v>
      </c>
    </row>
    <row r="265" spans="1:127" ht="37.5">
      <c r="A265" s="45"/>
      <c r="B265" s="45"/>
      <c r="C265" s="46"/>
      <c r="D265" s="47" t="s">
        <v>432</v>
      </c>
      <c r="E265" s="48" t="s">
        <v>433</v>
      </c>
      <c r="F265" s="49">
        <v>3526.83</v>
      </c>
      <c r="G265" s="49">
        <v>804.11999999999989</v>
      </c>
      <c r="H265" s="49">
        <v>3526.83</v>
      </c>
      <c r="I265" s="49">
        <v>804.11999999999989</v>
      </c>
      <c r="J265" s="92">
        <f t="shared" ref="J265:AA265" si="1281">+J263+J264</f>
        <v>3970</v>
      </c>
      <c r="K265" s="92">
        <f t="shared" si="1281"/>
        <v>0</v>
      </c>
      <c r="L265" s="92">
        <f t="shared" si="1281"/>
        <v>0</v>
      </c>
      <c r="M265" s="92">
        <f t="shared" si="1281"/>
        <v>3970</v>
      </c>
      <c r="N265" s="92">
        <f t="shared" si="1281"/>
        <v>0</v>
      </c>
      <c r="O265" s="92">
        <f t="shared" si="1281"/>
        <v>0</v>
      </c>
      <c r="P265" s="92">
        <f t="shared" si="1281"/>
        <v>0</v>
      </c>
      <c r="Q265" s="92">
        <f t="shared" si="1281"/>
        <v>0</v>
      </c>
      <c r="R265" s="92">
        <f t="shared" si="1281"/>
        <v>3970</v>
      </c>
      <c r="S265" s="92">
        <f t="shared" si="1281"/>
        <v>595.32999999999993</v>
      </c>
      <c r="T265" s="92">
        <f t="shared" si="1281"/>
        <v>0</v>
      </c>
      <c r="U265" s="92">
        <f t="shared" si="1281"/>
        <v>0</v>
      </c>
      <c r="V265" s="92">
        <f t="shared" si="1281"/>
        <v>3732.4399999999996</v>
      </c>
      <c r="W265" s="92">
        <f t="shared" si="1281"/>
        <v>830.42</v>
      </c>
      <c r="X265" s="92">
        <f t="shared" si="1281"/>
        <v>237.56000000000017</v>
      </c>
      <c r="Y265" s="92">
        <f t="shared" si="1281"/>
        <v>-235.08999999999997</v>
      </c>
      <c r="Z265" s="92">
        <f t="shared" si="1281"/>
        <v>3732.4399999999996</v>
      </c>
      <c r="AA265" s="92">
        <f t="shared" si="1281"/>
        <v>0</v>
      </c>
      <c r="AB265" s="49">
        <f t="shared" si="1205"/>
        <v>3732.4399999999996</v>
      </c>
      <c r="AC265" s="109">
        <f t="shared" si="1206"/>
        <v>0</v>
      </c>
      <c r="AD265" s="49">
        <f t="shared" ref="AD265:CQ265" si="1282">+AD263+AD264</f>
        <v>3732.4399999999996</v>
      </c>
      <c r="AE265" s="49">
        <f t="shared" si="1282"/>
        <v>531.32999999999993</v>
      </c>
      <c r="AF265" s="49">
        <f t="shared" si="1282"/>
        <v>537.11</v>
      </c>
      <c r="AG265" s="49">
        <f t="shared" si="1282"/>
        <v>933</v>
      </c>
      <c r="AH265" s="49">
        <f t="shared" si="1282"/>
        <v>148</v>
      </c>
      <c r="AI265" s="130">
        <f t="shared" si="1282"/>
        <v>311</v>
      </c>
      <c r="AJ265" s="49">
        <f t="shared" si="1282"/>
        <v>50</v>
      </c>
      <c r="AK265" s="49">
        <f t="shared" si="1282"/>
        <v>0</v>
      </c>
      <c r="AL265" s="49">
        <f t="shared" si="1282"/>
        <v>170</v>
      </c>
      <c r="AM265" s="49">
        <f t="shared" si="1282"/>
        <v>933.11</v>
      </c>
      <c r="AN265" s="49">
        <f t="shared" si="1282"/>
        <v>121.83</v>
      </c>
      <c r="AO265" s="49">
        <f t="shared" si="1282"/>
        <v>0</v>
      </c>
      <c r="AP265" s="49">
        <f t="shared" si="1282"/>
        <v>0</v>
      </c>
      <c r="AQ265" s="49">
        <f t="shared" si="1282"/>
        <v>1866.1100000000001</v>
      </c>
      <c r="AR265" s="49">
        <f t="shared" si="1282"/>
        <v>439.83</v>
      </c>
      <c r="AS265" s="49">
        <f t="shared" si="1282"/>
        <v>0</v>
      </c>
      <c r="AT265" s="49">
        <f t="shared" si="1282"/>
        <v>0</v>
      </c>
      <c r="AU265" s="49">
        <f t="shared" si="1282"/>
        <v>933.11</v>
      </c>
      <c r="AV265" s="49">
        <f t="shared" si="1282"/>
        <v>125.08</v>
      </c>
      <c r="AW265" s="49">
        <f t="shared" si="1282"/>
        <v>290</v>
      </c>
      <c r="AX265" s="49">
        <f t="shared" si="1282"/>
        <v>179.92</v>
      </c>
      <c r="AY265" s="49">
        <f t="shared" si="1282"/>
        <v>3400.2200000000003</v>
      </c>
      <c r="AZ265" s="49">
        <f t="shared" si="1282"/>
        <v>794.82999999999993</v>
      </c>
      <c r="BA265" s="49">
        <f t="shared" si="1282"/>
        <v>4195.05</v>
      </c>
      <c r="BB265" s="49">
        <f t="shared" si="1282"/>
        <v>3004.48</v>
      </c>
      <c r="BC265" s="49">
        <f t="shared" si="1282"/>
        <v>817.67</v>
      </c>
      <c r="BD265" s="49">
        <f t="shared" si="1282"/>
        <v>395.7399999999999</v>
      </c>
      <c r="BE265" s="49">
        <f t="shared" si="1282"/>
        <v>-22.840000000000018</v>
      </c>
      <c r="BF265" s="49">
        <f t="shared" si="1282"/>
        <v>600.89</v>
      </c>
      <c r="BG265" s="49">
        <f t="shared" si="1282"/>
        <v>163.53</v>
      </c>
      <c r="BH265" s="49">
        <f t="shared" si="1282"/>
        <v>59.14</v>
      </c>
      <c r="BI265" s="49">
        <f t="shared" si="1282"/>
        <v>14.82</v>
      </c>
      <c r="BJ265" s="49">
        <f t="shared" si="1282"/>
        <v>7</v>
      </c>
      <c r="BK265" s="49">
        <f t="shared" si="1282"/>
        <v>0</v>
      </c>
      <c r="BL265" s="49">
        <f t="shared" si="1282"/>
        <v>3466.36</v>
      </c>
      <c r="BM265" s="49">
        <f t="shared" si="1282"/>
        <v>809.65</v>
      </c>
      <c r="BN265" s="49">
        <f t="shared" si="1282"/>
        <v>4276.01</v>
      </c>
      <c r="BO265" s="49">
        <f t="shared" si="1282"/>
        <v>3340.22</v>
      </c>
      <c r="BP265" s="130">
        <f t="shared" si="1282"/>
        <v>828.72</v>
      </c>
      <c r="BQ265" s="49">
        <f t="shared" si="1282"/>
        <v>126.14000000000021</v>
      </c>
      <c r="BR265" s="49">
        <f t="shared" si="1282"/>
        <v>-19.070000000000036</v>
      </c>
      <c r="BS265" s="49">
        <f t="shared" si="1282"/>
        <v>303.65000000000003</v>
      </c>
      <c r="BT265" s="49">
        <f t="shared" si="1282"/>
        <v>75.339999999999989</v>
      </c>
      <c r="BU265" s="49">
        <f t="shared" si="1282"/>
        <v>200</v>
      </c>
      <c r="BV265" s="49">
        <f t="shared" si="1282"/>
        <v>46.64</v>
      </c>
      <c r="BW265" s="49">
        <f t="shared" si="1282"/>
        <v>39.85</v>
      </c>
      <c r="BX265" s="49">
        <f t="shared" si="1282"/>
        <v>0</v>
      </c>
      <c r="BY265" s="49">
        <f t="shared" si="1282"/>
        <v>0</v>
      </c>
      <c r="BZ265" s="49">
        <f t="shared" si="1282"/>
        <v>0</v>
      </c>
      <c r="CA265" s="49">
        <f t="shared" si="1282"/>
        <v>3706.21</v>
      </c>
      <c r="CB265" s="49">
        <f t="shared" si="1282"/>
        <v>856.29</v>
      </c>
      <c r="CC265" s="49">
        <f t="shared" si="1282"/>
        <v>4076.83</v>
      </c>
      <c r="CD265" s="130">
        <f t="shared" si="1282"/>
        <v>984.73</v>
      </c>
      <c r="CE265" s="191">
        <f t="shared" si="1282"/>
        <v>339</v>
      </c>
      <c r="CF265" s="191">
        <f t="shared" si="1282"/>
        <v>196</v>
      </c>
      <c r="CG265" s="191">
        <f t="shared" si="1282"/>
        <v>926.55000000000007</v>
      </c>
      <c r="CH265" s="191">
        <f t="shared" si="1282"/>
        <v>214.07</v>
      </c>
      <c r="CI265" s="191">
        <f t="shared" si="1282"/>
        <v>0</v>
      </c>
      <c r="CJ265" s="191">
        <f t="shared" si="1282"/>
        <v>0</v>
      </c>
      <c r="CK265" s="191">
        <f t="shared" si="1282"/>
        <v>1086</v>
      </c>
      <c r="CL265" s="191">
        <f t="shared" si="1282"/>
        <v>130</v>
      </c>
      <c r="CM265" s="191">
        <f t="shared" si="1282"/>
        <v>0</v>
      </c>
      <c r="CN265" s="191">
        <f t="shared" si="1282"/>
        <v>0</v>
      </c>
      <c r="CO265" s="191">
        <f t="shared" si="1282"/>
        <v>4130</v>
      </c>
      <c r="CP265" s="191">
        <f t="shared" si="1282"/>
        <v>567</v>
      </c>
      <c r="CQ265" s="191">
        <f t="shared" si="1282"/>
        <v>4344</v>
      </c>
      <c r="CR265" s="191">
        <f t="shared" ref="CR265:DW265" si="1283">+CR263+CR264</f>
        <v>637</v>
      </c>
      <c r="CS265" s="191">
        <f t="shared" si="1283"/>
        <v>4130</v>
      </c>
      <c r="CT265" s="191">
        <f t="shared" si="1283"/>
        <v>567</v>
      </c>
      <c r="CU265" s="191">
        <f t="shared" si="1283"/>
        <v>4130</v>
      </c>
      <c r="CV265" s="191">
        <f t="shared" si="1283"/>
        <v>577</v>
      </c>
      <c r="CW265" s="191">
        <f t="shared" si="1283"/>
        <v>1032.5</v>
      </c>
      <c r="CX265" s="191">
        <f t="shared" si="1283"/>
        <v>82.5</v>
      </c>
      <c r="CY265" s="191">
        <f t="shared" si="1283"/>
        <v>0</v>
      </c>
      <c r="CZ265" s="191">
        <f t="shared" si="1283"/>
        <v>10</v>
      </c>
      <c r="DA265" s="191">
        <f t="shared" si="1283"/>
        <v>2457.5</v>
      </c>
      <c r="DB265" s="191">
        <f t="shared" si="1283"/>
        <v>418.5</v>
      </c>
      <c r="DC265" s="191">
        <f t="shared" si="1283"/>
        <v>2199.14</v>
      </c>
      <c r="DD265" s="191">
        <f t="shared" si="1283"/>
        <v>394.21000000000004</v>
      </c>
      <c r="DE265" s="191">
        <f t="shared" si="1283"/>
        <v>258.36000000000007</v>
      </c>
      <c r="DF265" s="191">
        <f t="shared" si="1283"/>
        <v>24.289999999999992</v>
      </c>
      <c r="DG265" s="191">
        <f t="shared" si="1283"/>
        <v>1032.5</v>
      </c>
      <c r="DH265" s="191">
        <f t="shared" si="1283"/>
        <v>141.75</v>
      </c>
      <c r="DI265" s="191">
        <f t="shared" si="1283"/>
        <v>774.13999999999987</v>
      </c>
      <c r="DJ265" s="191">
        <f t="shared" si="1283"/>
        <v>94.37</v>
      </c>
      <c r="DK265" s="104">
        <f t="shared" si="1157"/>
        <v>1026.5899999999997</v>
      </c>
      <c r="DL265" s="104">
        <f t="shared" si="1158"/>
        <v>413.25</v>
      </c>
      <c r="DM265" s="104">
        <f t="shared" si="1246"/>
        <v>898.36000000000013</v>
      </c>
      <c r="DN265" s="104">
        <f t="shared" si="1247"/>
        <v>64.13</v>
      </c>
      <c r="DO265" s="49">
        <f t="shared" si="1283"/>
        <v>4258.2299999999996</v>
      </c>
      <c r="DP265" s="49">
        <f t="shared" si="1283"/>
        <v>926.12</v>
      </c>
      <c r="DQ265" s="49">
        <f t="shared" si="1283"/>
        <v>4512.46</v>
      </c>
      <c r="DR265" s="49">
        <f t="shared" si="1283"/>
        <v>1208.25</v>
      </c>
      <c r="DS265" s="49">
        <f t="shared" si="1283"/>
        <v>0</v>
      </c>
      <c r="DT265" s="49">
        <f t="shared" si="1283"/>
        <v>0</v>
      </c>
      <c r="DU265" s="49">
        <f t="shared" si="1283"/>
        <v>0</v>
      </c>
      <c r="DV265" s="49">
        <f t="shared" si="1283"/>
        <v>0</v>
      </c>
      <c r="DW265" s="49">
        <f t="shared" si="1283"/>
        <v>0</v>
      </c>
    </row>
    <row r="266" spans="1:127" ht="18.75">
      <c r="A266" s="18">
        <v>1</v>
      </c>
      <c r="B266" s="18" t="s">
        <v>434</v>
      </c>
      <c r="C266" s="19" t="s">
        <v>89</v>
      </c>
      <c r="D266" s="20" t="s">
        <v>435</v>
      </c>
      <c r="E266" s="21" t="s">
        <v>436</v>
      </c>
      <c r="F266" s="81">
        <v>2282.5699999999997</v>
      </c>
      <c r="G266" s="81">
        <v>3314.62</v>
      </c>
      <c r="H266" s="81">
        <v>2282.5699999999997</v>
      </c>
      <c r="I266" s="22">
        <v>3314.62</v>
      </c>
      <c r="J266" s="88">
        <v>2170</v>
      </c>
      <c r="K266" s="87">
        <v>149.75</v>
      </c>
      <c r="L266" s="87">
        <v>0.25</v>
      </c>
      <c r="M266" s="88">
        <f t="shared" si="1237"/>
        <v>2320</v>
      </c>
      <c r="N266" s="87">
        <v>0</v>
      </c>
      <c r="O266" s="87">
        <v>0</v>
      </c>
      <c r="P266" s="87">
        <v>0</v>
      </c>
      <c r="Q266" s="88">
        <f t="shared" ref="Q266" si="1284">+P266+O266+N266</f>
        <v>0</v>
      </c>
      <c r="R266" s="88">
        <f t="shared" si="1239"/>
        <v>2320</v>
      </c>
      <c r="S266" s="87">
        <v>3600</v>
      </c>
      <c r="V266" s="22">
        <f t="shared" ref="V266:V268" si="1285">ROUND(H266*1.0583,2)</f>
        <v>2415.64</v>
      </c>
      <c r="W266" s="22">
        <f t="shared" ref="W266:W268" si="1286">ROUND(I266*1.0327,2)</f>
        <v>3423.01</v>
      </c>
      <c r="X266" s="22">
        <f t="shared" si="1203"/>
        <v>-95.639999999999873</v>
      </c>
      <c r="Y266" s="22">
        <f t="shared" si="1204"/>
        <v>176.98999999999978</v>
      </c>
      <c r="Z266" s="22">
        <v>2320</v>
      </c>
      <c r="AA266" s="22"/>
      <c r="AB266" s="22">
        <f t="shared" si="1205"/>
        <v>2320</v>
      </c>
      <c r="AC266" s="109">
        <f t="shared" si="1206"/>
        <v>0</v>
      </c>
      <c r="AD266" s="22">
        <f t="shared" ref="AD266:AD267" si="1287">IF(X266&gt;0,V266,R266)</f>
        <v>2320</v>
      </c>
      <c r="AE266" s="22">
        <f t="shared" ref="AE266:AE267" si="1288">IF(Y266&gt;0,W266,S266)</f>
        <v>3423.01</v>
      </c>
      <c r="AF266" s="22">
        <f t="shared" si="1209"/>
        <v>3247.92</v>
      </c>
      <c r="AG266" s="108">
        <f t="shared" si="1210"/>
        <v>580</v>
      </c>
      <c r="AH266" s="108">
        <f t="shared" si="1211"/>
        <v>856</v>
      </c>
      <c r="AI266" s="127">
        <f t="shared" si="1212"/>
        <v>193</v>
      </c>
      <c r="AJ266" s="108">
        <f t="shared" si="1213"/>
        <v>285</v>
      </c>
      <c r="AM266" s="108">
        <f t="shared" si="1214"/>
        <v>580</v>
      </c>
      <c r="AN266" s="108">
        <f t="shared" si="1215"/>
        <v>833.5</v>
      </c>
      <c r="AQ266" s="108">
        <f t="shared" si="1216"/>
        <v>1160</v>
      </c>
      <c r="AR266" s="108">
        <f t="shared" si="1217"/>
        <v>1689.5</v>
      </c>
      <c r="AU266" s="108">
        <f t="shared" si="1054"/>
        <v>580</v>
      </c>
      <c r="AV266" s="108">
        <f t="shared" ref="AV266:AV285" si="1289">ROUND(AE266*25%,2)</f>
        <v>855.75</v>
      </c>
      <c r="AY266" s="108">
        <f t="shared" si="1218"/>
        <v>1933</v>
      </c>
      <c r="AZ266" s="108">
        <f t="shared" si="1219"/>
        <v>2830.25</v>
      </c>
      <c r="BA266" s="108">
        <f t="shared" si="1220"/>
        <v>4763.25</v>
      </c>
      <c r="BB266" s="139">
        <v>1806.86</v>
      </c>
      <c r="BC266" s="139">
        <v>3182.63</v>
      </c>
      <c r="BD266" s="139">
        <f t="shared" si="1221"/>
        <v>126.1400000000001</v>
      </c>
      <c r="BE266" s="139">
        <f t="shared" si="1222"/>
        <v>-352.38000000000011</v>
      </c>
      <c r="BF266" s="139">
        <f t="shared" si="1223"/>
        <v>361.37</v>
      </c>
      <c r="BG266" s="139">
        <f t="shared" si="1224"/>
        <v>636.53</v>
      </c>
      <c r="BH266" s="108">
        <v>117.62</v>
      </c>
      <c r="BI266" s="108">
        <v>450</v>
      </c>
      <c r="BL266" s="108">
        <f t="shared" si="1244"/>
        <v>2050.62</v>
      </c>
      <c r="BM266" s="108">
        <f t="shared" si="1262"/>
        <v>3280.25</v>
      </c>
      <c r="BN266" s="108">
        <f t="shared" si="1263"/>
        <v>5330.87</v>
      </c>
      <c r="BO266" s="108">
        <v>1997.81</v>
      </c>
      <c r="BP266" s="169">
        <v>3513.85</v>
      </c>
      <c r="BQ266" s="108">
        <f t="shared" si="1264"/>
        <v>52.809999999999945</v>
      </c>
      <c r="BR266" s="108">
        <f t="shared" si="1265"/>
        <v>-233.59999999999991</v>
      </c>
      <c r="BS266" s="108">
        <f t="shared" si="1266"/>
        <v>181.62</v>
      </c>
      <c r="BT266" s="108">
        <f t="shared" si="1267"/>
        <v>319.44</v>
      </c>
      <c r="BU266" s="143">
        <v>139.38</v>
      </c>
      <c r="BV266" s="108">
        <f>ROUND(BT266-BR266,2)</f>
        <v>553.04</v>
      </c>
      <c r="BX266" s="108">
        <f>80+21.71</f>
        <v>101.71000000000001</v>
      </c>
      <c r="CA266" s="108">
        <v>2190</v>
      </c>
      <c r="CB266" s="108">
        <v>3935</v>
      </c>
      <c r="CC266">
        <v>2409</v>
      </c>
      <c r="CD266">
        <v>4525.25</v>
      </c>
      <c r="CE266" s="189">
        <v>201</v>
      </c>
      <c r="CF266" s="189">
        <v>377</v>
      </c>
      <c r="CG266" s="189">
        <f t="shared" si="1268"/>
        <v>547.5</v>
      </c>
      <c r="CH266" s="189">
        <f t="shared" si="1269"/>
        <v>983.75</v>
      </c>
      <c r="CI266" s="150"/>
      <c r="CJ266" s="150"/>
      <c r="CK266" s="150">
        <f>700-50</f>
        <v>650</v>
      </c>
      <c r="CL266" s="150">
        <f>1175-100-75</f>
        <v>1000</v>
      </c>
      <c r="CM266" s="150"/>
      <c r="CN266" s="150"/>
      <c r="CO266" s="150">
        <v>230</v>
      </c>
      <c r="CP266" s="150">
        <v>4000</v>
      </c>
      <c r="CQ266" s="150">
        <f t="shared" si="1270"/>
        <v>2600</v>
      </c>
      <c r="CR266" s="150">
        <f t="shared" si="1271"/>
        <v>4000</v>
      </c>
      <c r="CS266" s="150">
        <f t="shared" si="1272"/>
        <v>230</v>
      </c>
      <c r="CT266" s="150">
        <f t="shared" si="1273"/>
        <v>4000</v>
      </c>
      <c r="CU266" s="150">
        <v>2320</v>
      </c>
      <c r="CV266" s="150">
        <f t="shared" si="1273"/>
        <v>4000</v>
      </c>
      <c r="CW266" s="150">
        <f t="shared" si="1276"/>
        <v>580</v>
      </c>
      <c r="CX266" s="150">
        <f t="shared" ref="CX266:CX309" si="1290">ROUND(CV266*25%,2)</f>
        <v>1000</v>
      </c>
      <c r="CY266" s="150"/>
      <c r="CZ266" s="150"/>
      <c r="DA266" s="150">
        <f t="shared" si="1277"/>
        <v>1431</v>
      </c>
      <c r="DB266" s="150">
        <f t="shared" si="1278"/>
        <v>2377</v>
      </c>
      <c r="DC266" s="150">
        <v>1336.27</v>
      </c>
      <c r="DD266" s="150">
        <v>2534.66</v>
      </c>
      <c r="DE266" s="150">
        <f t="shared" si="1279"/>
        <v>94.730000000000018</v>
      </c>
      <c r="DF266" s="150">
        <f t="shared" si="1280"/>
        <v>-157.65999999999985</v>
      </c>
      <c r="DG266" s="150">
        <f t="shared" ref="DG266:DH268" si="1291">ROUND(0.25*(MIN(CU266,DO266)),2)</f>
        <v>580</v>
      </c>
      <c r="DH266" s="150">
        <f t="shared" si="1291"/>
        <v>1000</v>
      </c>
      <c r="DI266" s="150">
        <f>+DG266-DE266</f>
        <v>485.27</v>
      </c>
      <c r="DJ266" s="150">
        <f>+DH266-DF266</f>
        <v>1157.6599999999999</v>
      </c>
      <c r="DK266" s="104">
        <f t="shared" si="1157"/>
        <v>403.73</v>
      </c>
      <c r="DL266" s="104">
        <f t="shared" si="1158"/>
        <v>965.34000000000015</v>
      </c>
      <c r="DM266" s="104">
        <f t="shared" si="1246"/>
        <v>403.73</v>
      </c>
      <c r="DN266" s="104">
        <f t="shared" si="1247"/>
        <v>465.34000000000015</v>
      </c>
      <c r="DO266" s="104">
        <v>2320</v>
      </c>
      <c r="DP266" s="104">
        <v>4500</v>
      </c>
      <c r="DQ266" s="104">
        <v>2855</v>
      </c>
      <c r="DR266" s="104">
        <v>5000</v>
      </c>
    </row>
    <row r="267" spans="1:127" ht="18.75">
      <c r="A267" s="13">
        <v>2</v>
      </c>
      <c r="B267" s="13"/>
      <c r="C267" s="14"/>
      <c r="D267" s="15" t="s">
        <v>437</v>
      </c>
      <c r="E267" s="16"/>
      <c r="F267" s="81">
        <v>626.40000000000009</v>
      </c>
      <c r="G267" s="81">
        <v>33.229999999999997</v>
      </c>
      <c r="H267" s="81">
        <v>626.40000000000009</v>
      </c>
      <c r="I267" s="17">
        <v>33.229999999999997</v>
      </c>
      <c r="J267" s="86">
        <v>773.83</v>
      </c>
      <c r="K267" s="87"/>
      <c r="L267" s="87"/>
      <c r="M267" s="87">
        <f t="shared" ref="M267:M268" si="1292">J267+K267+L267</f>
        <v>773.83</v>
      </c>
      <c r="N267" s="87"/>
      <c r="O267" s="87"/>
      <c r="P267" s="87"/>
      <c r="Q267" s="87">
        <f t="shared" ref="Q267:Q268" si="1293">N267+O267+P267</f>
        <v>0</v>
      </c>
      <c r="R267" s="87">
        <f t="shared" si="1239"/>
        <v>773.83</v>
      </c>
      <c r="S267" s="87">
        <v>0</v>
      </c>
      <c r="V267" s="17">
        <f t="shared" si="1285"/>
        <v>662.92</v>
      </c>
      <c r="W267" s="17">
        <f t="shared" si="1286"/>
        <v>34.32</v>
      </c>
      <c r="X267" s="108">
        <f t="shared" si="1203"/>
        <v>110.91000000000008</v>
      </c>
      <c r="Y267" s="108">
        <f t="shared" si="1204"/>
        <v>-34.32</v>
      </c>
      <c r="Z267" s="108">
        <v>662.92</v>
      </c>
      <c r="AA267" s="108"/>
      <c r="AB267" s="108">
        <f t="shared" si="1205"/>
        <v>662.92</v>
      </c>
      <c r="AC267" s="109">
        <f t="shared" si="1206"/>
        <v>0</v>
      </c>
      <c r="AD267" s="108">
        <f t="shared" si="1287"/>
        <v>662.92</v>
      </c>
      <c r="AE267" s="108">
        <f t="shared" si="1288"/>
        <v>0</v>
      </c>
      <c r="AF267" s="108">
        <f t="shared" si="1209"/>
        <v>0</v>
      </c>
      <c r="AG267" s="108">
        <f t="shared" si="1210"/>
        <v>166</v>
      </c>
      <c r="AH267" s="108">
        <f t="shared" si="1211"/>
        <v>0</v>
      </c>
      <c r="AI267" s="127">
        <f t="shared" si="1212"/>
        <v>55</v>
      </c>
      <c r="AJ267" s="108">
        <f t="shared" si="1213"/>
        <v>0</v>
      </c>
      <c r="AM267" s="108">
        <f t="shared" si="1214"/>
        <v>165.73</v>
      </c>
      <c r="AN267" s="108">
        <f t="shared" si="1215"/>
        <v>0</v>
      </c>
      <c r="AQ267" s="108">
        <f t="shared" si="1216"/>
        <v>331.73</v>
      </c>
      <c r="AR267" s="108">
        <f t="shared" si="1217"/>
        <v>0</v>
      </c>
      <c r="AU267" s="108">
        <f t="shared" si="1054"/>
        <v>165.73</v>
      </c>
      <c r="AV267" s="108">
        <f t="shared" si="1289"/>
        <v>0</v>
      </c>
      <c r="AY267" s="108">
        <f t="shared" si="1218"/>
        <v>552.46</v>
      </c>
      <c r="AZ267" s="108">
        <f t="shared" si="1219"/>
        <v>0</v>
      </c>
      <c r="BA267" s="108">
        <f t="shared" si="1220"/>
        <v>552.46</v>
      </c>
      <c r="BB267" s="139">
        <v>497.29</v>
      </c>
      <c r="BC267" s="139">
        <v>0</v>
      </c>
      <c r="BD267" s="139">
        <f t="shared" si="1221"/>
        <v>55.170000000000016</v>
      </c>
      <c r="BE267" s="139">
        <f t="shared" si="1222"/>
        <v>0</v>
      </c>
      <c r="BF267" s="139">
        <f t="shared" si="1223"/>
        <v>99.46</v>
      </c>
      <c r="BG267" s="139">
        <f t="shared" si="1224"/>
        <v>0</v>
      </c>
      <c r="BH267" s="108">
        <v>22.15</v>
      </c>
      <c r="BI267" s="108">
        <v>0</v>
      </c>
      <c r="BL267" s="108">
        <f t="shared" si="1244"/>
        <v>574.61</v>
      </c>
      <c r="BM267" s="108">
        <f t="shared" si="1262"/>
        <v>0</v>
      </c>
      <c r="BN267" s="108">
        <f t="shared" si="1263"/>
        <v>574.61</v>
      </c>
      <c r="BO267" s="108">
        <v>553.55999999999995</v>
      </c>
      <c r="BP267" s="127"/>
      <c r="BQ267" s="108">
        <f t="shared" si="1264"/>
        <v>21.050000000000068</v>
      </c>
      <c r="BR267" s="108">
        <f t="shared" si="1265"/>
        <v>0</v>
      </c>
      <c r="BS267" s="108">
        <f t="shared" si="1266"/>
        <v>50.32</v>
      </c>
      <c r="BT267" s="108">
        <f t="shared" si="1267"/>
        <v>0</v>
      </c>
      <c r="BU267" s="108">
        <f>ROUND(BS267-BQ267,2)</f>
        <v>29.27</v>
      </c>
      <c r="BV267" s="108">
        <f t="shared" ref="BV267:BV268" si="1294">ROUND(BT267-BR267,2)</f>
        <v>0</v>
      </c>
      <c r="BW267" s="109">
        <v>35</v>
      </c>
      <c r="CA267" s="108">
        <v>638.88</v>
      </c>
      <c r="CB267" s="108">
        <v>0</v>
      </c>
      <c r="CC267">
        <v>702.77</v>
      </c>
      <c r="CD267">
        <v>0</v>
      </c>
      <c r="CE267" s="189">
        <v>59</v>
      </c>
      <c r="CF267" s="189">
        <v>0</v>
      </c>
      <c r="CG267" s="189">
        <f t="shared" si="1268"/>
        <v>159.72</v>
      </c>
      <c r="CH267" s="189">
        <f t="shared" si="1269"/>
        <v>0</v>
      </c>
      <c r="CI267" s="150"/>
      <c r="CJ267" s="150"/>
      <c r="CK267" s="150">
        <v>185</v>
      </c>
      <c r="CL267" s="150">
        <v>70</v>
      </c>
      <c r="CM267" s="150"/>
      <c r="CN267" s="150"/>
      <c r="CO267" s="150">
        <v>729.21</v>
      </c>
      <c r="CP267" s="150">
        <f>32.2+37.8</f>
        <v>70</v>
      </c>
      <c r="CQ267" s="150">
        <f t="shared" si="1270"/>
        <v>740</v>
      </c>
      <c r="CR267" s="150">
        <f t="shared" si="1271"/>
        <v>280</v>
      </c>
      <c r="CS267" s="150">
        <f t="shared" si="1272"/>
        <v>729.21</v>
      </c>
      <c r="CT267" s="150">
        <f t="shared" si="1273"/>
        <v>70</v>
      </c>
      <c r="CU267" s="150">
        <f t="shared" si="1272"/>
        <v>729.21</v>
      </c>
      <c r="CV267" s="150">
        <v>95</v>
      </c>
      <c r="CW267" s="150">
        <f t="shared" si="1276"/>
        <v>182.3</v>
      </c>
      <c r="CX267" s="150">
        <f t="shared" si="1290"/>
        <v>23.75</v>
      </c>
      <c r="CY267" s="150"/>
      <c r="CZ267" s="150"/>
      <c r="DA267" s="150">
        <f t="shared" si="1277"/>
        <v>426.3</v>
      </c>
      <c r="DB267" s="150">
        <f t="shared" si="1278"/>
        <v>93.75</v>
      </c>
      <c r="DC267" s="150">
        <v>387.02</v>
      </c>
      <c r="DD267" s="150">
        <v>72.34</v>
      </c>
      <c r="DE267" s="150">
        <f t="shared" si="1279"/>
        <v>39.28000000000003</v>
      </c>
      <c r="DF267" s="150">
        <f t="shared" si="1280"/>
        <v>21.409999999999997</v>
      </c>
      <c r="DG267" s="150">
        <f t="shared" si="1291"/>
        <v>182.3</v>
      </c>
      <c r="DH267" s="150">
        <f t="shared" si="1291"/>
        <v>18.75</v>
      </c>
      <c r="DI267" s="150">
        <f>+DG267-DE267</f>
        <v>143.01999999999998</v>
      </c>
      <c r="DJ267" s="150">
        <f>+DH267-DF267+2.66</f>
        <v>3.5527136788005009E-15</v>
      </c>
      <c r="DK267" s="104">
        <f t="shared" si="1157"/>
        <v>168.44</v>
      </c>
      <c r="DL267" s="104">
        <f t="shared" si="1158"/>
        <v>-18.750000000000004</v>
      </c>
      <c r="DM267" s="104">
        <f t="shared" si="1246"/>
        <v>159.89000000000004</v>
      </c>
      <c r="DN267" s="104">
        <f t="shared" si="1247"/>
        <v>1.2499999999999964</v>
      </c>
      <c r="DO267" s="104">
        <v>737.76</v>
      </c>
      <c r="DP267" s="178">
        <v>75</v>
      </c>
      <c r="DQ267" s="104">
        <v>800</v>
      </c>
      <c r="DR267" s="104">
        <v>0</v>
      </c>
    </row>
    <row r="268" spans="1:127" ht="18.75">
      <c r="A268" s="13">
        <v>3</v>
      </c>
      <c r="B268" s="13"/>
      <c r="C268" s="14"/>
      <c r="D268" s="183" t="s">
        <v>438</v>
      </c>
      <c r="E268" s="16"/>
      <c r="F268" s="81">
        <v>1458.7700000000002</v>
      </c>
      <c r="G268" s="81">
        <v>0</v>
      </c>
      <c r="H268" s="81">
        <v>1458.7700000000002</v>
      </c>
      <c r="I268" s="17">
        <v>0</v>
      </c>
      <c r="J268" s="86">
        <v>920</v>
      </c>
      <c r="K268" s="87"/>
      <c r="L268" s="87"/>
      <c r="M268" s="87">
        <f t="shared" si="1292"/>
        <v>920</v>
      </c>
      <c r="N268" s="87"/>
      <c r="O268" s="87"/>
      <c r="P268" s="87"/>
      <c r="Q268" s="87">
        <f t="shared" si="1293"/>
        <v>0</v>
      </c>
      <c r="R268" s="87">
        <f t="shared" si="1239"/>
        <v>920</v>
      </c>
      <c r="S268" s="87">
        <v>0</v>
      </c>
      <c r="V268" s="17">
        <f t="shared" si="1285"/>
        <v>1543.82</v>
      </c>
      <c r="W268" s="17">
        <f t="shared" si="1286"/>
        <v>0</v>
      </c>
      <c r="X268" s="108">
        <f t="shared" si="1203"/>
        <v>-623.81999999999994</v>
      </c>
      <c r="Y268" s="108">
        <f t="shared" si="1204"/>
        <v>0</v>
      </c>
      <c r="Z268" s="108">
        <v>920</v>
      </c>
      <c r="AA268" s="108"/>
      <c r="AB268" s="108">
        <f t="shared" si="1205"/>
        <v>920</v>
      </c>
      <c r="AC268" s="109">
        <f t="shared" si="1206"/>
        <v>0</v>
      </c>
      <c r="AD268" s="108">
        <f t="shared" ref="AD268" si="1295">IF(X268&gt;0,V268,R268)</f>
        <v>920</v>
      </c>
      <c r="AE268" s="108">
        <f t="shared" ref="AE268" si="1296">IF(Y268&gt;0,W268,S268)</f>
        <v>0</v>
      </c>
      <c r="AF268" s="108">
        <f t="shared" si="1209"/>
        <v>0</v>
      </c>
      <c r="AG268" s="108">
        <f t="shared" si="1210"/>
        <v>230</v>
      </c>
      <c r="AH268" s="108">
        <f t="shared" si="1211"/>
        <v>0</v>
      </c>
      <c r="AI268" s="127">
        <f t="shared" si="1212"/>
        <v>77</v>
      </c>
      <c r="AJ268" s="108">
        <f t="shared" si="1213"/>
        <v>0</v>
      </c>
      <c r="AM268" s="108">
        <f t="shared" si="1214"/>
        <v>230</v>
      </c>
      <c r="AN268" s="108">
        <f t="shared" si="1215"/>
        <v>0</v>
      </c>
      <c r="AQ268" s="108">
        <f t="shared" si="1216"/>
        <v>460</v>
      </c>
      <c r="AR268" s="108">
        <f t="shared" si="1217"/>
        <v>0</v>
      </c>
      <c r="AU268" s="108">
        <f t="shared" si="1054"/>
        <v>230</v>
      </c>
      <c r="AV268" s="108">
        <f t="shared" si="1289"/>
        <v>0</v>
      </c>
      <c r="AY268" s="108">
        <f t="shared" si="1218"/>
        <v>767</v>
      </c>
      <c r="AZ268" s="108">
        <f t="shared" si="1219"/>
        <v>0</v>
      </c>
      <c r="BA268" s="108">
        <f t="shared" si="1220"/>
        <v>767</v>
      </c>
      <c r="BB268" s="139">
        <v>743.42</v>
      </c>
      <c r="BD268" s="139">
        <f t="shared" si="1221"/>
        <v>23.580000000000041</v>
      </c>
      <c r="BE268" s="139">
        <f t="shared" si="1222"/>
        <v>0</v>
      </c>
      <c r="BF268" s="139">
        <f t="shared" si="1223"/>
        <v>148.68</v>
      </c>
      <c r="BG268" s="139">
        <f t="shared" si="1224"/>
        <v>0</v>
      </c>
      <c r="BH268" s="108">
        <v>62.55</v>
      </c>
      <c r="BI268" s="108">
        <v>0</v>
      </c>
      <c r="BL268" s="108">
        <f t="shared" si="1244"/>
        <v>829.55</v>
      </c>
      <c r="BM268" s="108">
        <f t="shared" si="1262"/>
        <v>0</v>
      </c>
      <c r="BN268" s="108">
        <f t="shared" si="1263"/>
        <v>829.55</v>
      </c>
      <c r="BO268" s="108">
        <v>819.56</v>
      </c>
      <c r="BP268" s="127"/>
      <c r="BQ268" s="108">
        <f t="shared" si="1264"/>
        <v>9.9900000000000091</v>
      </c>
      <c r="BR268" s="108">
        <f t="shared" si="1265"/>
        <v>0</v>
      </c>
      <c r="BS268" s="108">
        <f t="shared" si="1266"/>
        <v>74.510000000000005</v>
      </c>
      <c r="BT268" s="108">
        <f t="shared" si="1267"/>
        <v>0</v>
      </c>
      <c r="BU268" s="108">
        <f t="shared" ref="BU268:BU309" si="1297">BS268-BQ268</f>
        <v>64.52</v>
      </c>
      <c r="BV268" s="108">
        <f t="shared" si="1294"/>
        <v>0</v>
      </c>
      <c r="BW268" s="109">
        <v>525.92999999999995</v>
      </c>
      <c r="CA268" s="108">
        <v>1420</v>
      </c>
      <c r="CB268" s="108">
        <v>0</v>
      </c>
      <c r="CC268">
        <v>1562</v>
      </c>
      <c r="CD268">
        <v>0</v>
      </c>
      <c r="CE268" s="189">
        <v>130</v>
      </c>
      <c r="CF268" s="189">
        <v>0</v>
      </c>
      <c r="CG268" s="189">
        <f t="shared" si="1268"/>
        <v>355</v>
      </c>
      <c r="CH268" s="189">
        <f t="shared" si="1269"/>
        <v>0</v>
      </c>
      <c r="CI268" s="150"/>
      <c r="CJ268" s="150"/>
      <c r="CK268" s="150">
        <f>435-30</f>
        <v>405</v>
      </c>
      <c r="CL268" s="150"/>
      <c r="CM268" s="150"/>
      <c r="CN268" s="150"/>
      <c r="CO268" s="150">
        <v>1012</v>
      </c>
      <c r="CP268" s="150"/>
      <c r="CQ268" s="150">
        <f t="shared" si="1270"/>
        <v>1620</v>
      </c>
      <c r="CR268" s="150">
        <f t="shared" si="1271"/>
        <v>0</v>
      </c>
      <c r="CS268" s="150">
        <f t="shared" si="1272"/>
        <v>1012</v>
      </c>
      <c r="CT268" s="150">
        <f t="shared" si="1273"/>
        <v>0</v>
      </c>
      <c r="CU268" s="150">
        <f t="shared" si="1272"/>
        <v>1012</v>
      </c>
      <c r="CV268" s="150"/>
      <c r="CW268" s="150">
        <f t="shared" si="1276"/>
        <v>253</v>
      </c>
      <c r="CX268" s="150">
        <f t="shared" si="1290"/>
        <v>0</v>
      </c>
      <c r="CY268" s="150"/>
      <c r="CZ268" s="150"/>
      <c r="DA268" s="150">
        <f t="shared" si="1277"/>
        <v>788</v>
      </c>
      <c r="DB268" s="150">
        <f t="shared" si="1278"/>
        <v>0</v>
      </c>
      <c r="DC268" s="150">
        <v>739.75</v>
      </c>
      <c r="DD268" s="150">
        <v>0</v>
      </c>
      <c r="DE268" s="150">
        <f t="shared" si="1279"/>
        <v>48.25</v>
      </c>
      <c r="DF268" s="150">
        <f t="shared" si="1280"/>
        <v>0</v>
      </c>
      <c r="DG268" s="150">
        <f t="shared" si="1291"/>
        <v>253</v>
      </c>
      <c r="DH268" s="150">
        <f t="shared" si="1291"/>
        <v>0</v>
      </c>
      <c r="DI268" s="150">
        <f>+DG268-DE268</f>
        <v>204.75</v>
      </c>
      <c r="DJ268" s="150">
        <f>+DH268-DF268</f>
        <v>0</v>
      </c>
      <c r="DK268" s="104">
        <f t="shared" si="1157"/>
        <v>457.25</v>
      </c>
      <c r="DL268" s="104">
        <f t="shared" si="1158"/>
        <v>0</v>
      </c>
      <c r="DM268" s="104">
        <f t="shared" si="1246"/>
        <v>19.25</v>
      </c>
      <c r="DN268" s="104">
        <f t="shared" si="1247"/>
        <v>0</v>
      </c>
      <c r="DO268" s="104">
        <v>1450</v>
      </c>
      <c r="DP268" s="104">
        <v>0</v>
      </c>
      <c r="DQ268" s="104">
        <v>1580</v>
      </c>
      <c r="DR268" s="104">
        <v>0</v>
      </c>
    </row>
    <row r="269" spans="1:127" ht="18.75">
      <c r="A269" s="18"/>
      <c r="B269" s="18" t="s">
        <v>439</v>
      </c>
      <c r="C269" s="19" t="s">
        <v>23</v>
      </c>
      <c r="D269" s="20" t="s">
        <v>437</v>
      </c>
      <c r="E269" s="21" t="s">
        <v>440</v>
      </c>
      <c r="F269" s="22">
        <v>2085.17</v>
      </c>
      <c r="G269" s="22">
        <v>33.229999999999997</v>
      </c>
      <c r="H269" s="22">
        <v>2085.17</v>
      </c>
      <c r="I269" s="22">
        <v>33.229999999999997</v>
      </c>
      <c r="J269" s="88">
        <f t="shared" ref="J269:AA269" si="1298">+J267+J268</f>
        <v>1693.83</v>
      </c>
      <c r="K269" s="88">
        <f t="shared" si="1298"/>
        <v>0</v>
      </c>
      <c r="L269" s="88">
        <f t="shared" si="1298"/>
        <v>0</v>
      </c>
      <c r="M269" s="88">
        <f t="shared" si="1298"/>
        <v>1693.83</v>
      </c>
      <c r="N269" s="88">
        <f t="shared" si="1298"/>
        <v>0</v>
      </c>
      <c r="O269" s="88">
        <f t="shared" si="1298"/>
        <v>0</v>
      </c>
      <c r="P269" s="88">
        <f t="shared" si="1298"/>
        <v>0</v>
      </c>
      <c r="Q269" s="88">
        <f t="shared" si="1298"/>
        <v>0</v>
      </c>
      <c r="R269" s="88">
        <f t="shared" si="1298"/>
        <v>1693.83</v>
      </c>
      <c r="S269" s="88">
        <f t="shared" si="1298"/>
        <v>0</v>
      </c>
      <c r="T269" s="88">
        <f t="shared" si="1298"/>
        <v>0</v>
      </c>
      <c r="U269" s="88">
        <f t="shared" si="1298"/>
        <v>0</v>
      </c>
      <c r="V269" s="88">
        <f t="shared" si="1298"/>
        <v>2206.7399999999998</v>
      </c>
      <c r="W269" s="88">
        <f t="shared" si="1298"/>
        <v>34.32</v>
      </c>
      <c r="X269" s="88">
        <f t="shared" si="1298"/>
        <v>-512.90999999999985</v>
      </c>
      <c r="Y269" s="88">
        <f t="shared" si="1298"/>
        <v>-34.32</v>
      </c>
      <c r="Z269" s="88">
        <f t="shared" si="1298"/>
        <v>1582.92</v>
      </c>
      <c r="AA269" s="88">
        <f t="shared" si="1298"/>
        <v>0</v>
      </c>
      <c r="AB269" s="22">
        <f t="shared" si="1205"/>
        <v>1582.92</v>
      </c>
      <c r="AC269" s="109">
        <f t="shared" si="1206"/>
        <v>0</v>
      </c>
      <c r="AD269" s="22">
        <f t="shared" ref="AD269:CQ269" si="1299">+AD267+AD268</f>
        <v>1582.92</v>
      </c>
      <c r="AE269" s="22">
        <f t="shared" si="1299"/>
        <v>0</v>
      </c>
      <c r="AF269" s="22">
        <f t="shared" si="1299"/>
        <v>0</v>
      </c>
      <c r="AG269" s="22">
        <f t="shared" si="1299"/>
        <v>396</v>
      </c>
      <c r="AH269" s="22">
        <f t="shared" si="1299"/>
        <v>0</v>
      </c>
      <c r="AI269" s="118">
        <f t="shared" si="1299"/>
        <v>132</v>
      </c>
      <c r="AJ269" s="22">
        <f t="shared" si="1299"/>
        <v>0</v>
      </c>
      <c r="AK269" s="22">
        <f t="shared" si="1299"/>
        <v>0</v>
      </c>
      <c r="AL269" s="22">
        <f t="shared" si="1299"/>
        <v>0</v>
      </c>
      <c r="AM269" s="22">
        <f t="shared" si="1299"/>
        <v>395.73</v>
      </c>
      <c r="AN269" s="22">
        <f t="shared" si="1299"/>
        <v>0</v>
      </c>
      <c r="AO269" s="22">
        <f t="shared" si="1299"/>
        <v>0</v>
      </c>
      <c r="AP269" s="22">
        <f t="shared" si="1299"/>
        <v>0</v>
      </c>
      <c r="AQ269" s="22">
        <f t="shared" si="1299"/>
        <v>791.73</v>
      </c>
      <c r="AR269" s="22">
        <f t="shared" si="1299"/>
        <v>0</v>
      </c>
      <c r="AS269" s="22">
        <f t="shared" si="1299"/>
        <v>0</v>
      </c>
      <c r="AT269" s="22">
        <f t="shared" si="1299"/>
        <v>0</v>
      </c>
      <c r="AU269" s="22">
        <f t="shared" si="1299"/>
        <v>395.73</v>
      </c>
      <c r="AV269" s="22">
        <f t="shared" si="1299"/>
        <v>0</v>
      </c>
      <c r="AW269" s="22">
        <f t="shared" si="1299"/>
        <v>0</v>
      </c>
      <c r="AX269" s="22">
        <f t="shared" si="1299"/>
        <v>0</v>
      </c>
      <c r="AY269" s="22">
        <f t="shared" si="1299"/>
        <v>1319.46</v>
      </c>
      <c r="AZ269" s="22">
        <f t="shared" si="1299"/>
        <v>0</v>
      </c>
      <c r="BA269" s="22">
        <f t="shared" si="1299"/>
        <v>1319.46</v>
      </c>
      <c r="BB269" s="22">
        <f t="shared" si="1299"/>
        <v>1240.71</v>
      </c>
      <c r="BC269" s="22">
        <f t="shared" si="1299"/>
        <v>0</v>
      </c>
      <c r="BD269" s="22">
        <f t="shared" si="1299"/>
        <v>78.750000000000057</v>
      </c>
      <c r="BE269" s="22">
        <f t="shared" si="1299"/>
        <v>0</v>
      </c>
      <c r="BF269" s="22">
        <f t="shared" si="1299"/>
        <v>248.14</v>
      </c>
      <c r="BG269" s="118">
        <f t="shared" si="1299"/>
        <v>0</v>
      </c>
      <c r="BH269" s="118">
        <f t="shared" si="1299"/>
        <v>84.699999999999989</v>
      </c>
      <c r="BI269" s="118">
        <f t="shared" si="1299"/>
        <v>0</v>
      </c>
      <c r="BJ269" s="118">
        <f t="shared" si="1299"/>
        <v>0</v>
      </c>
      <c r="BK269" s="118">
        <f t="shared" si="1299"/>
        <v>0</v>
      </c>
      <c r="BL269" s="118">
        <f t="shared" si="1299"/>
        <v>1404.1599999999999</v>
      </c>
      <c r="BM269" s="118">
        <f t="shared" si="1299"/>
        <v>0</v>
      </c>
      <c r="BN269" s="118">
        <f t="shared" si="1299"/>
        <v>1404.1599999999999</v>
      </c>
      <c r="BO269" s="118">
        <f t="shared" si="1299"/>
        <v>1373.12</v>
      </c>
      <c r="BP269" s="118">
        <f t="shared" si="1299"/>
        <v>0</v>
      </c>
      <c r="BQ269" s="22">
        <f t="shared" si="1299"/>
        <v>31.040000000000077</v>
      </c>
      <c r="BR269" s="22">
        <f t="shared" si="1299"/>
        <v>0</v>
      </c>
      <c r="BS269" s="22">
        <f t="shared" si="1299"/>
        <v>124.83000000000001</v>
      </c>
      <c r="BT269" s="22">
        <f t="shared" si="1299"/>
        <v>0</v>
      </c>
      <c r="BU269" s="22">
        <f t="shared" si="1299"/>
        <v>93.789999999999992</v>
      </c>
      <c r="BV269" s="22">
        <f t="shared" si="1299"/>
        <v>0</v>
      </c>
      <c r="BW269" s="22">
        <f t="shared" si="1299"/>
        <v>560.92999999999995</v>
      </c>
      <c r="BX269" s="22">
        <f t="shared" si="1299"/>
        <v>0</v>
      </c>
      <c r="BY269" s="22">
        <f t="shared" si="1299"/>
        <v>0</v>
      </c>
      <c r="BZ269" s="22">
        <f t="shared" si="1299"/>
        <v>0</v>
      </c>
      <c r="CA269" s="22">
        <f t="shared" si="1299"/>
        <v>2058.88</v>
      </c>
      <c r="CB269" s="22">
        <f t="shared" si="1299"/>
        <v>0</v>
      </c>
      <c r="CC269" s="22">
        <f t="shared" si="1299"/>
        <v>2264.77</v>
      </c>
      <c r="CD269" s="118">
        <f t="shared" si="1299"/>
        <v>0</v>
      </c>
      <c r="CE269" s="190">
        <f t="shared" si="1299"/>
        <v>189</v>
      </c>
      <c r="CF269" s="190">
        <f t="shared" si="1299"/>
        <v>0</v>
      </c>
      <c r="CG269" s="190">
        <f t="shared" si="1299"/>
        <v>514.72</v>
      </c>
      <c r="CH269" s="190">
        <f t="shared" si="1299"/>
        <v>0</v>
      </c>
      <c r="CI269" s="190">
        <f t="shared" si="1299"/>
        <v>0</v>
      </c>
      <c r="CJ269" s="190">
        <f t="shared" si="1299"/>
        <v>0</v>
      </c>
      <c r="CK269" s="190">
        <f t="shared" si="1299"/>
        <v>590</v>
      </c>
      <c r="CL269" s="190">
        <f t="shared" si="1299"/>
        <v>70</v>
      </c>
      <c r="CM269" s="190">
        <f t="shared" si="1299"/>
        <v>0</v>
      </c>
      <c r="CN269" s="190">
        <f t="shared" si="1299"/>
        <v>0</v>
      </c>
      <c r="CO269" s="190">
        <f t="shared" si="1299"/>
        <v>1741.21</v>
      </c>
      <c r="CP269" s="190">
        <f t="shared" si="1299"/>
        <v>70</v>
      </c>
      <c r="CQ269" s="190">
        <f t="shared" si="1299"/>
        <v>2360</v>
      </c>
      <c r="CR269" s="190">
        <f t="shared" ref="CR269:DV269" si="1300">+CR267+CR268</f>
        <v>280</v>
      </c>
      <c r="CS269" s="190">
        <f t="shared" si="1300"/>
        <v>1741.21</v>
      </c>
      <c r="CT269" s="190">
        <f t="shared" si="1300"/>
        <v>70</v>
      </c>
      <c r="CU269" s="190">
        <f t="shared" si="1300"/>
        <v>1741.21</v>
      </c>
      <c r="CV269" s="190">
        <f t="shared" si="1300"/>
        <v>95</v>
      </c>
      <c r="CW269" s="190">
        <f t="shared" si="1300"/>
        <v>435.3</v>
      </c>
      <c r="CX269" s="190">
        <f t="shared" si="1300"/>
        <v>23.75</v>
      </c>
      <c r="CY269" s="190">
        <f t="shared" si="1300"/>
        <v>0</v>
      </c>
      <c r="CZ269" s="190">
        <f t="shared" si="1300"/>
        <v>0</v>
      </c>
      <c r="DA269" s="190">
        <f t="shared" si="1300"/>
        <v>1214.3</v>
      </c>
      <c r="DB269" s="190">
        <f t="shared" si="1300"/>
        <v>93.75</v>
      </c>
      <c r="DC269" s="190">
        <f t="shared" si="1300"/>
        <v>1126.77</v>
      </c>
      <c r="DD269" s="190">
        <f t="shared" si="1300"/>
        <v>72.34</v>
      </c>
      <c r="DE269" s="190">
        <f t="shared" si="1300"/>
        <v>87.53000000000003</v>
      </c>
      <c r="DF269" s="190">
        <f t="shared" si="1300"/>
        <v>21.409999999999997</v>
      </c>
      <c r="DG269" s="190">
        <f t="shared" si="1300"/>
        <v>435.3</v>
      </c>
      <c r="DH269" s="190">
        <f t="shared" si="1300"/>
        <v>18.75</v>
      </c>
      <c r="DI269" s="190">
        <f t="shared" si="1300"/>
        <v>347.77</v>
      </c>
      <c r="DJ269" s="190">
        <f t="shared" si="1300"/>
        <v>3.5527136788005009E-15</v>
      </c>
      <c r="DK269" s="104">
        <f t="shared" si="1157"/>
        <v>625.69000000000028</v>
      </c>
      <c r="DL269" s="104">
        <f t="shared" si="1158"/>
        <v>-18.750000000000004</v>
      </c>
      <c r="DM269" s="104">
        <f t="shared" si="1246"/>
        <v>179.1400000000001</v>
      </c>
      <c r="DN269" s="104">
        <f t="shared" si="1247"/>
        <v>1.2499999999999964</v>
      </c>
      <c r="DO269" s="22">
        <f t="shared" si="1300"/>
        <v>2187.7600000000002</v>
      </c>
      <c r="DP269" s="22">
        <f t="shared" si="1300"/>
        <v>75</v>
      </c>
      <c r="DQ269" s="22">
        <f t="shared" si="1300"/>
        <v>2380</v>
      </c>
      <c r="DR269" s="22">
        <f t="shared" si="1300"/>
        <v>0</v>
      </c>
      <c r="DS269" s="22">
        <f t="shared" si="1300"/>
        <v>0</v>
      </c>
      <c r="DT269" s="22">
        <f t="shared" si="1300"/>
        <v>0</v>
      </c>
      <c r="DU269" s="22">
        <f t="shared" si="1300"/>
        <v>0</v>
      </c>
      <c r="DV269" s="22">
        <f t="shared" si="1300"/>
        <v>0</v>
      </c>
    </row>
    <row r="270" spans="1:127" ht="29.25" customHeight="1">
      <c r="A270" s="18">
        <v>4</v>
      </c>
      <c r="B270" s="18" t="s">
        <v>441</v>
      </c>
      <c r="C270" s="19" t="s">
        <v>40</v>
      </c>
      <c r="D270" s="181" t="s">
        <v>442</v>
      </c>
      <c r="E270" s="21" t="s">
        <v>443</v>
      </c>
      <c r="F270" s="81">
        <v>0</v>
      </c>
      <c r="G270" s="81">
        <v>0</v>
      </c>
      <c r="H270" s="81">
        <v>0</v>
      </c>
      <c r="I270" s="22">
        <v>0</v>
      </c>
      <c r="J270" s="88">
        <v>0</v>
      </c>
      <c r="K270" s="87">
        <v>0</v>
      </c>
      <c r="L270" s="87">
        <v>0</v>
      </c>
      <c r="M270" s="88">
        <f t="shared" ref="M270:M272" si="1301">+L270+K270+J270</f>
        <v>0</v>
      </c>
      <c r="N270" s="87">
        <v>0</v>
      </c>
      <c r="O270" s="87">
        <v>0</v>
      </c>
      <c r="P270" s="87">
        <v>0</v>
      </c>
      <c r="Q270" s="88">
        <f t="shared" ref="Q270" si="1302">+P270+O270+N270</f>
        <v>0</v>
      </c>
      <c r="R270" s="88">
        <f t="shared" si="1239"/>
        <v>0</v>
      </c>
      <c r="S270" s="88">
        <v>0</v>
      </c>
      <c r="T270" s="88"/>
      <c r="U270" s="88"/>
      <c r="V270" s="88"/>
      <c r="W270" s="88">
        <f t="shared" ref="W270" si="1303">+U270+V270</f>
        <v>0</v>
      </c>
      <c r="X270" s="88">
        <f t="shared" si="1203"/>
        <v>0</v>
      </c>
      <c r="Y270" s="88">
        <f t="shared" si="1204"/>
        <v>0</v>
      </c>
      <c r="Z270" s="88">
        <v>0</v>
      </c>
      <c r="AA270" s="88"/>
      <c r="AB270" s="88">
        <f t="shared" si="1205"/>
        <v>0</v>
      </c>
      <c r="AC270" s="109">
        <f t="shared" si="1206"/>
        <v>0</v>
      </c>
      <c r="AD270" s="88">
        <f t="shared" ref="AD270" si="1304">IF(X270&gt;0,V270,R270)</f>
        <v>0</v>
      </c>
      <c r="AE270" s="88">
        <f t="shared" ref="AE270" si="1305">IF(Y270&gt;0,W270,S270)</f>
        <v>0</v>
      </c>
      <c r="AF270" s="88">
        <f t="shared" si="1209"/>
        <v>0</v>
      </c>
      <c r="AG270" s="88">
        <f t="shared" si="1210"/>
        <v>0</v>
      </c>
      <c r="AH270" s="88">
        <f t="shared" si="1211"/>
        <v>0</v>
      </c>
      <c r="AI270" s="133">
        <f t="shared" si="1212"/>
        <v>0</v>
      </c>
      <c r="AJ270" s="88">
        <f t="shared" si="1213"/>
        <v>0</v>
      </c>
      <c r="AK270" s="88"/>
      <c r="AM270" s="108">
        <f t="shared" si="1214"/>
        <v>0</v>
      </c>
      <c r="AN270" s="108">
        <f t="shared" si="1215"/>
        <v>0</v>
      </c>
      <c r="AQ270" s="108">
        <f t="shared" si="1216"/>
        <v>0</v>
      </c>
      <c r="AR270" s="108">
        <f t="shared" si="1217"/>
        <v>0</v>
      </c>
      <c r="AU270" s="108">
        <f t="shared" si="1054"/>
        <v>0</v>
      </c>
      <c r="AV270" s="108">
        <f t="shared" si="1289"/>
        <v>0</v>
      </c>
      <c r="AY270" s="108">
        <f t="shared" si="1218"/>
        <v>0</v>
      </c>
      <c r="AZ270" s="108">
        <f t="shared" si="1219"/>
        <v>0</v>
      </c>
      <c r="BA270" s="108">
        <f t="shared" si="1220"/>
        <v>0</v>
      </c>
      <c r="BB270" s="139">
        <v>0</v>
      </c>
      <c r="BD270" s="139">
        <f t="shared" si="1221"/>
        <v>0</v>
      </c>
      <c r="BE270" s="139">
        <f t="shared" si="1222"/>
        <v>0</v>
      </c>
      <c r="BF270" s="139">
        <f t="shared" si="1223"/>
        <v>0</v>
      </c>
      <c r="BG270" s="139">
        <f t="shared" si="1224"/>
        <v>0</v>
      </c>
      <c r="BH270" s="108">
        <v>0</v>
      </c>
      <c r="BI270" s="108">
        <v>0</v>
      </c>
      <c r="BL270" s="108">
        <f t="shared" si="1244"/>
        <v>0</v>
      </c>
      <c r="BM270" s="108">
        <f t="shared" si="1262"/>
        <v>0</v>
      </c>
      <c r="BN270" s="108">
        <f t="shared" si="1263"/>
        <v>0</v>
      </c>
      <c r="BP270" s="127"/>
      <c r="BQ270" s="108">
        <f t="shared" si="1264"/>
        <v>0</v>
      </c>
      <c r="BR270" s="108">
        <f t="shared" si="1265"/>
        <v>0</v>
      </c>
      <c r="BS270" s="108">
        <f t="shared" si="1266"/>
        <v>0</v>
      </c>
      <c r="BT270" s="108">
        <f t="shared" si="1267"/>
        <v>0</v>
      </c>
      <c r="BU270" s="108">
        <f t="shared" si="1297"/>
        <v>0</v>
      </c>
      <c r="BV270" s="108">
        <v>0</v>
      </c>
      <c r="CA270" s="108">
        <v>0</v>
      </c>
      <c r="CB270" s="108">
        <v>0</v>
      </c>
      <c r="CC270">
        <v>0</v>
      </c>
      <c r="CD270">
        <v>0</v>
      </c>
      <c r="CE270" s="189">
        <v>0</v>
      </c>
      <c r="CF270" s="189">
        <v>0</v>
      </c>
      <c r="CG270" s="189">
        <f t="shared" si="1268"/>
        <v>0</v>
      </c>
      <c r="CH270" s="189">
        <f t="shared" si="1269"/>
        <v>0</v>
      </c>
      <c r="CI270" s="150"/>
      <c r="CJ270" s="150"/>
      <c r="CK270" s="150">
        <v>0</v>
      </c>
      <c r="CL270" s="150">
        <v>0</v>
      </c>
      <c r="CM270" s="150"/>
      <c r="CN270" s="150"/>
      <c r="CO270" s="150"/>
      <c r="CP270" s="150"/>
      <c r="CQ270" s="150">
        <f t="shared" si="1270"/>
        <v>0</v>
      </c>
      <c r="CR270" s="150">
        <f t="shared" si="1271"/>
        <v>0</v>
      </c>
      <c r="CS270" s="150">
        <f t="shared" si="1272"/>
        <v>0</v>
      </c>
      <c r="CT270" s="150">
        <f t="shared" si="1273"/>
        <v>0</v>
      </c>
      <c r="CU270" s="150"/>
      <c r="CV270" s="150"/>
      <c r="CW270" s="150">
        <f t="shared" si="1276"/>
        <v>0</v>
      </c>
      <c r="CX270" s="150">
        <f t="shared" si="1290"/>
        <v>0</v>
      </c>
      <c r="CY270" s="150"/>
      <c r="CZ270" s="150"/>
      <c r="DA270" s="150">
        <f t="shared" si="1277"/>
        <v>0</v>
      </c>
      <c r="DB270" s="150">
        <f t="shared" si="1278"/>
        <v>0</v>
      </c>
      <c r="DC270" s="150">
        <v>0</v>
      </c>
      <c r="DD270" s="150">
        <v>0</v>
      </c>
      <c r="DE270" s="150">
        <f t="shared" si="1279"/>
        <v>0</v>
      </c>
      <c r="DF270" s="150">
        <f t="shared" si="1280"/>
        <v>0</v>
      </c>
      <c r="DG270" s="150">
        <f>ROUND(0.25*(MIN(CU270,DO270)),2)</f>
        <v>0</v>
      </c>
      <c r="DH270" s="150">
        <f>ROUND(0.25*(MIN(CV270,DP270)),2)</f>
        <v>0</v>
      </c>
      <c r="DI270" s="150">
        <f>+DG270-DE270</f>
        <v>0</v>
      </c>
      <c r="DJ270" s="150">
        <f>+DH270-DF270</f>
        <v>0</v>
      </c>
      <c r="DK270" s="104">
        <f t="shared" si="1157"/>
        <v>0</v>
      </c>
      <c r="DL270" s="104">
        <f t="shared" si="1158"/>
        <v>0</v>
      </c>
      <c r="DM270" s="104">
        <f t="shared" si="1246"/>
        <v>0</v>
      </c>
      <c r="DN270" s="104">
        <f t="shared" si="1247"/>
        <v>0</v>
      </c>
      <c r="DO270" s="104">
        <v>0</v>
      </c>
      <c r="DP270" s="104">
        <v>0</v>
      </c>
      <c r="DQ270" s="104">
        <v>0</v>
      </c>
      <c r="DR270" s="104">
        <v>0</v>
      </c>
    </row>
    <row r="271" spans="1:127" ht="37.5">
      <c r="A271" s="45"/>
      <c r="B271" s="45"/>
      <c r="C271" s="46"/>
      <c r="D271" s="47" t="s">
        <v>444</v>
      </c>
      <c r="E271" s="48" t="s">
        <v>445</v>
      </c>
      <c r="F271" s="49">
        <v>4367.74</v>
      </c>
      <c r="G271" s="49">
        <v>3347.85</v>
      </c>
      <c r="H271" s="49">
        <v>4367.74</v>
      </c>
      <c r="I271" s="49">
        <v>3347.85</v>
      </c>
      <c r="J271" s="92">
        <f t="shared" ref="J271:AA271" si="1306">+J266+J269+J270</f>
        <v>3863.83</v>
      </c>
      <c r="K271" s="92">
        <f t="shared" si="1306"/>
        <v>149.75</v>
      </c>
      <c r="L271" s="92">
        <f t="shared" si="1306"/>
        <v>0.25</v>
      </c>
      <c r="M271" s="92">
        <f t="shared" si="1306"/>
        <v>4013.83</v>
      </c>
      <c r="N271" s="92">
        <f t="shared" si="1306"/>
        <v>0</v>
      </c>
      <c r="O271" s="92">
        <f t="shared" si="1306"/>
        <v>0</v>
      </c>
      <c r="P271" s="92">
        <f t="shared" si="1306"/>
        <v>0</v>
      </c>
      <c r="Q271" s="92">
        <f t="shared" si="1306"/>
        <v>0</v>
      </c>
      <c r="R271" s="92">
        <f t="shared" si="1306"/>
        <v>4013.83</v>
      </c>
      <c r="S271" s="92">
        <f t="shared" si="1306"/>
        <v>3600</v>
      </c>
      <c r="T271" s="92">
        <f t="shared" si="1306"/>
        <v>0</v>
      </c>
      <c r="U271" s="92">
        <f t="shared" si="1306"/>
        <v>0</v>
      </c>
      <c r="V271" s="92">
        <f t="shared" si="1306"/>
        <v>4622.3799999999992</v>
      </c>
      <c r="W271" s="92">
        <f t="shared" si="1306"/>
        <v>3457.3300000000004</v>
      </c>
      <c r="X271" s="92">
        <f t="shared" si="1306"/>
        <v>-608.54999999999973</v>
      </c>
      <c r="Y271" s="92">
        <f t="shared" si="1306"/>
        <v>142.66999999999979</v>
      </c>
      <c r="Z271" s="92">
        <f t="shared" si="1306"/>
        <v>3902.92</v>
      </c>
      <c r="AA271" s="92">
        <f t="shared" si="1306"/>
        <v>0</v>
      </c>
      <c r="AB271" s="49">
        <f t="shared" si="1205"/>
        <v>3902.92</v>
      </c>
      <c r="AC271" s="109">
        <f t="shared" si="1206"/>
        <v>0</v>
      </c>
      <c r="AD271" s="49">
        <f t="shared" ref="AD271:CQ271" si="1307">+AD266+AD269+AD270</f>
        <v>3902.92</v>
      </c>
      <c r="AE271" s="49">
        <f t="shared" si="1307"/>
        <v>3423.01</v>
      </c>
      <c r="AF271" s="49">
        <f t="shared" si="1307"/>
        <v>3247.92</v>
      </c>
      <c r="AG271" s="49">
        <f t="shared" si="1307"/>
        <v>976</v>
      </c>
      <c r="AH271" s="49">
        <f t="shared" si="1307"/>
        <v>856</v>
      </c>
      <c r="AI271" s="130">
        <f t="shared" si="1307"/>
        <v>325</v>
      </c>
      <c r="AJ271" s="49">
        <f t="shared" si="1307"/>
        <v>285</v>
      </c>
      <c r="AK271" s="49">
        <f t="shared" si="1307"/>
        <v>0</v>
      </c>
      <c r="AL271" s="49">
        <f t="shared" si="1307"/>
        <v>0</v>
      </c>
      <c r="AM271" s="49">
        <f t="shared" si="1307"/>
        <v>975.73</v>
      </c>
      <c r="AN271" s="49">
        <f t="shared" si="1307"/>
        <v>833.5</v>
      </c>
      <c r="AO271" s="49">
        <f t="shared" si="1307"/>
        <v>0</v>
      </c>
      <c r="AP271" s="49">
        <f t="shared" si="1307"/>
        <v>0</v>
      </c>
      <c r="AQ271" s="49">
        <f t="shared" si="1307"/>
        <v>1951.73</v>
      </c>
      <c r="AR271" s="49">
        <f t="shared" si="1307"/>
        <v>1689.5</v>
      </c>
      <c r="AS271" s="49">
        <f t="shared" si="1307"/>
        <v>0</v>
      </c>
      <c r="AT271" s="49">
        <f t="shared" si="1307"/>
        <v>0</v>
      </c>
      <c r="AU271" s="49">
        <f t="shared" si="1307"/>
        <v>975.73</v>
      </c>
      <c r="AV271" s="49">
        <f t="shared" si="1307"/>
        <v>855.75</v>
      </c>
      <c r="AW271" s="49">
        <f t="shared" si="1307"/>
        <v>0</v>
      </c>
      <c r="AX271" s="49">
        <f t="shared" si="1307"/>
        <v>0</v>
      </c>
      <c r="AY271" s="49">
        <f t="shared" si="1307"/>
        <v>3252.46</v>
      </c>
      <c r="AZ271" s="49">
        <f t="shared" si="1307"/>
        <v>2830.25</v>
      </c>
      <c r="BA271" s="49">
        <f t="shared" si="1307"/>
        <v>6082.71</v>
      </c>
      <c r="BB271" s="49">
        <f t="shared" si="1307"/>
        <v>3047.5699999999997</v>
      </c>
      <c r="BC271" s="49">
        <f t="shared" si="1307"/>
        <v>3182.63</v>
      </c>
      <c r="BD271" s="49">
        <f t="shared" si="1307"/>
        <v>204.89000000000016</v>
      </c>
      <c r="BE271" s="49">
        <f t="shared" si="1307"/>
        <v>-352.38000000000011</v>
      </c>
      <c r="BF271" s="49">
        <f t="shared" si="1307"/>
        <v>609.51</v>
      </c>
      <c r="BG271" s="130">
        <f t="shared" si="1307"/>
        <v>636.53</v>
      </c>
      <c r="BH271" s="130">
        <f t="shared" si="1307"/>
        <v>202.32</v>
      </c>
      <c r="BI271" s="130">
        <f t="shared" si="1307"/>
        <v>450</v>
      </c>
      <c r="BJ271" s="130">
        <f t="shared" si="1307"/>
        <v>0</v>
      </c>
      <c r="BK271" s="130">
        <f t="shared" si="1307"/>
        <v>0</v>
      </c>
      <c r="BL271" s="130">
        <f t="shared" si="1307"/>
        <v>3454.7799999999997</v>
      </c>
      <c r="BM271" s="130">
        <f t="shared" si="1307"/>
        <v>3280.25</v>
      </c>
      <c r="BN271" s="130">
        <f t="shared" si="1307"/>
        <v>6735.03</v>
      </c>
      <c r="BO271" s="130">
        <f t="shared" si="1307"/>
        <v>3370.93</v>
      </c>
      <c r="BP271" s="130">
        <f t="shared" si="1307"/>
        <v>3513.85</v>
      </c>
      <c r="BQ271" s="49">
        <f t="shared" si="1307"/>
        <v>83.850000000000023</v>
      </c>
      <c r="BR271" s="49">
        <f t="shared" si="1307"/>
        <v>-233.59999999999991</v>
      </c>
      <c r="BS271" s="49">
        <f t="shared" si="1307"/>
        <v>306.45000000000005</v>
      </c>
      <c r="BT271" s="49">
        <f t="shared" si="1307"/>
        <v>319.44</v>
      </c>
      <c r="BU271" s="49">
        <f t="shared" si="1307"/>
        <v>233.17</v>
      </c>
      <c r="BV271" s="49">
        <f t="shared" si="1307"/>
        <v>553.04</v>
      </c>
      <c r="BW271" s="49">
        <f t="shared" si="1307"/>
        <v>560.92999999999995</v>
      </c>
      <c r="BX271" s="49">
        <f t="shared" si="1307"/>
        <v>101.71000000000001</v>
      </c>
      <c r="BY271" s="49">
        <f t="shared" si="1307"/>
        <v>0</v>
      </c>
      <c r="BZ271" s="49">
        <f t="shared" si="1307"/>
        <v>0</v>
      </c>
      <c r="CA271" s="49">
        <f t="shared" si="1307"/>
        <v>4248.88</v>
      </c>
      <c r="CB271" s="49">
        <f t="shared" si="1307"/>
        <v>3935</v>
      </c>
      <c r="CC271" s="49">
        <f t="shared" si="1307"/>
        <v>4673.7700000000004</v>
      </c>
      <c r="CD271" s="130">
        <f t="shared" si="1307"/>
        <v>4525.25</v>
      </c>
      <c r="CE271" s="191">
        <f t="shared" si="1307"/>
        <v>390</v>
      </c>
      <c r="CF271" s="191">
        <f t="shared" si="1307"/>
        <v>377</v>
      </c>
      <c r="CG271" s="191">
        <f t="shared" si="1307"/>
        <v>1062.22</v>
      </c>
      <c r="CH271" s="191">
        <f t="shared" si="1307"/>
        <v>983.75</v>
      </c>
      <c r="CI271" s="191">
        <f t="shared" si="1307"/>
        <v>0</v>
      </c>
      <c r="CJ271" s="191">
        <f t="shared" si="1307"/>
        <v>0</v>
      </c>
      <c r="CK271" s="191">
        <f t="shared" si="1307"/>
        <v>1240</v>
      </c>
      <c r="CL271" s="191">
        <f t="shared" si="1307"/>
        <v>1070</v>
      </c>
      <c r="CM271" s="191">
        <f t="shared" si="1307"/>
        <v>0</v>
      </c>
      <c r="CN271" s="191">
        <f t="shared" si="1307"/>
        <v>0</v>
      </c>
      <c r="CO271" s="191">
        <f t="shared" si="1307"/>
        <v>1971.21</v>
      </c>
      <c r="CP271" s="191">
        <f t="shared" si="1307"/>
        <v>4070</v>
      </c>
      <c r="CQ271" s="191">
        <f t="shared" si="1307"/>
        <v>4960</v>
      </c>
      <c r="CR271" s="191">
        <f t="shared" ref="CR271:DW271" si="1308">+CR266+CR269+CR270</f>
        <v>4280</v>
      </c>
      <c r="CS271" s="191">
        <f t="shared" si="1308"/>
        <v>1971.21</v>
      </c>
      <c r="CT271" s="191">
        <f t="shared" si="1308"/>
        <v>4070</v>
      </c>
      <c r="CU271" s="191">
        <f t="shared" si="1308"/>
        <v>4061.21</v>
      </c>
      <c r="CV271" s="191">
        <f t="shared" si="1308"/>
        <v>4095</v>
      </c>
      <c r="CW271" s="191">
        <f t="shared" si="1308"/>
        <v>1015.3</v>
      </c>
      <c r="CX271" s="191">
        <f t="shared" si="1308"/>
        <v>1023.75</v>
      </c>
      <c r="CY271" s="191">
        <f t="shared" si="1308"/>
        <v>0</v>
      </c>
      <c r="CZ271" s="191">
        <f t="shared" si="1308"/>
        <v>0</v>
      </c>
      <c r="DA271" s="191">
        <f t="shared" si="1308"/>
        <v>2645.3</v>
      </c>
      <c r="DB271" s="191">
        <f t="shared" si="1308"/>
        <v>2470.75</v>
      </c>
      <c r="DC271" s="191">
        <f t="shared" si="1308"/>
        <v>2463.04</v>
      </c>
      <c r="DD271" s="191">
        <f t="shared" si="1308"/>
        <v>2607</v>
      </c>
      <c r="DE271" s="191">
        <f t="shared" si="1308"/>
        <v>182.26000000000005</v>
      </c>
      <c r="DF271" s="191">
        <f t="shared" si="1308"/>
        <v>-136.24999999999986</v>
      </c>
      <c r="DG271" s="191">
        <f t="shared" si="1308"/>
        <v>1015.3</v>
      </c>
      <c r="DH271" s="191">
        <f t="shared" si="1308"/>
        <v>1018.75</v>
      </c>
      <c r="DI271" s="191">
        <f t="shared" si="1308"/>
        <v>833.04</v>
      </c>
      <c r="DJ271" s="191">
        <f t="shared" si="1308"/>
        <v>1157.6599999999999</v>
      </c>
      <c r="DK271" s="104">
        <f t="shared" si="1157"/>
        <v>1029.42</v>
      </c>
      <c r="DL271" s="104">
        <f t="shared" si="1158"/>
        <v>946.59000000000015</v>
      </c>
      <c r="DM271" s="104">
        <f t="shared" si="1246"/>
        <v>582.86999999999989</v>
      </c>
      <c r="DN271" s="104">
        <f t="shared" si="1247"/>
        <v>466.59000000000015</v>
      </c>
      <c r="DO271" s="49">
        <f t="shared" si="1308"/>
        <v>4507.76</v>
      </c>
      <c r="DP271" s="49">
        <f t="shared" si="1308"/>
        <v>4575</v>
      </c>
      <c r="DQ271" s="49">
        <f t="shared" si="1308"/>
        <v>5235</v>
      </c>
      <c r="DR271" s="49">
        <f t="shared" si="1308"/>
        <v>5000</v>
      </c>
      <c r="DS271" s="49">
        <f t="shared" si="1308"/>
        <v>0</v>
      </c>
      <c r="DT271" s="49">
        <f t="shared" si="1308"/>
        <v>0</v>
      </c>
      <c r="DU271" s="49">
        <f t="shared" si="1308"/>
        <v>0</v>
      </c>
      <c r="DV271" s="49">
        <f t="shared" si="1308"/>
        <v>0</v>
      </c>
      <c r="DW271" s="49">
        <f t="shared" si="1308"/>
        <v>0</v>
      </c>
    </row>
    <row r="272" spans="1:127" ht="18.75">
      <c r="A272" s="13">
        <v>1</v>
      </c>
      <c r="B272" s="13"/>
      <c r="C272" s="14"/>
      <c r="D272" s="15" t="s">
        <v>446</v>
      </c>
      <c r="E272" s="16"/>
      <c r="F272" s="81">
        <v>8182.66</v>
      </c>
      <c r="G272" s="81">
        <v>5831.45</v>
      </c>
      <c r="H272" s="81">
        <v>8532.66</v>
      </c>
      <c r="I272" s="17">
        <v>5831.45</v>
      </c>
      <c r="J272" s="105">
        <v>9000</v>
      </c>
      <c r="K272" s="87"/>
      <c r="L272" s="87"/>
      <c r="M272" s="88">
        <f t="shared" si="1301"/>
        <v>9000</v>
      </c>
      <c r="N272" s="87"/>
      <c r="O272" s="87"/>
      <c r="P272" s="87"/>
      <c r="Q272" s="88">
        <f t="shared" ref="Q272" si="1309">+P272+O272+N272</f>
        <v>0</v>
      </c>
      <c r="R272" s="88">
        <f t="shared" si="1239"/>
        <v>9000</v>
      </c>
      <c r="S272" s="87">
        <v>6200</v>
      </c>
      <c r="V272" s="17">
        <v>9018.7099999999991</v>
      </c>
      <c r="W272" s="17">
        <f>ROUND(I272*1.0327,2)+3.81</f>
        <v>6025.9500000000007</v>
      </c>
      <c r="X272" s="108">
        <f t="shared" si="1203"/>
        <v>-18.709999999999127</v>
      </c>
      <c r="Y272" s="108">
        <f t="shared" si="1204"/>
        <v>174.04999999999927</v>
      </c>
      <c r="Z272" s="108">
        <v>9100</v>
      </c>
      <c r="AA272" s="108"/>
      <c r="AB272" s="108">
        <f t="shared" si="1205"/>
        <v>9100</v>
      </c>
      <c r="AC272" s="109">
        <f t="shared" si="1206"/>
        <v>0</v>
      </c>
      <c r="AD272" s="108">
        <v>9100</v>
      </c>
      <c r="AE272" s="108">
        <v>6900</v>
      </c>
      <c r="AF272" s="108">
        <f>ROUND(S272*0.9022,2)+500</f>
        <v>6093.64</v>
      </c>
      <c r="AG272" s="108">
        <v>2250</v>
      </c>
      <c r="AH272" s="108">
        <v>1756</v>
      </c>
      <c r="AI272" s="127">
        <v>750</v>
      </c>
      <c r="AJ272" s="108">
        <v>620</v>
      </c>
      <c r="AM272" s="108">
        <v>2250</v>
      </c>
      <c r="AN272" s="108">
        <v>1710.82</v>
      </c>
      <c r="AQ272" s="108">
        <f t="shared" si="1216"/>
        <v>4500</v>
      </c>
      <c r="AR272" s="108">
        <f t="shared" si="1217"/>
        <v>3466.8199999999997</v>
      </c>
      <c r="AU272" s="108">
        <f t="shared" si="1054"/>
        <v>2275</v>
      </c>
      <c r="AV272" s="108">
        <f t="shared" si="1289"/>
        <v>1725</v>
      </c>
      <c r="AW272" s="116"/>
      <c r="AX272" s="143">
        <v>650</v>
      </c>
      <c r="AY272" s="116">
        <f t="shared" si="1218"/>
        <v>7525</v>
      </c>
      <c r="AZ272" s="108">
        <f t="shared" si="1219"/>
        <v>6461.82</v>
      </c>
      <c r="BA272" s="108">
        <f t="shared" si="1220"/>
        <v>13986.82</v>
      </c>
      <c r="BB272" s="139">
        <v>7254.45</v>
      </c>
      <c r="BC272" s="139">
        <v>6674.79</v>
      </c>
      <c r="BD272" s="139">
        <f t="shared" si="1221"/>
        <v>270.55000000000018</v>
      </c>
      <c r="BE272" s="139">
        <f t="shared" si="1222"/>
        <v>-212.97000000000025</v>
      </c>
      <c r="BF272" s="139">
        <f t="shared" si="1223"/>
        <v>1450.89</v>
      </c>
      <c r="BG272" s="139">
        <f t="shared" si="1224"/>
        <v>1334.96</v>
      </c>
      <c r="BH272" s="108">
        <v>590.16999999999996</v>
      </c>
      <c r="BI272" s="108">
        <v>773.97</v>
      </c>
      <c r="BJ272" s="108">
        <v>500</v>
      </c>
      <c r="BL272" s="108">
        <f t="shared" si="1244"/>
        <v>8615.17</v>
      </c>
      <c r="BM272" s="108">
        <f t="shared" si="1262"/>
        <v>7235.79</v>
      </c>
      <c r="BN272" s="108">
        <f t="shared" si="1263"/>
        <v>15850.96</v>
      </c>
      <c r="BO272" s="108">
        <v>8033.54</v>
      </c>
      <c r="BP272" s="127">
        <v>8305.66</v>
      </c>
      <c r="BQ272" s="108">
        <f t="shared" si="1264"/>
        <v>581.63000000000011</v>
      </c>
      <c r="BR272" s="108">
        <f t="shared" si="1265"/>
        <v>-1069.8699999999999</v>
      </c>
      <c r="BS272" s="108">
        <f t="shared" si="1266"/>
        <v>730.32</v>
      </c>
      <c r="BT272" s="108">
        <f t="shared" si="1267"/>
        <v>755.06</v>
      </c>
      <c r="BU272" s="108">
        <f t="shared" si="1297"/>
        <v>148.68999999999994</v>
      </c>
      <c r="BV272" s="108">
        <f>ROUND(BT272-BR272,2)-1824.93</f>
        <v>0</v>
      </c>
      <c r="BW272" s="109">
        <f>100+80+5.55</f>
        <v>185.55</v>
      </c>
      <c r="BZ272" s="108">
        <f>470.02+10.94</f>
        <v>480.96</v>
      </c>
      <c r="CA272" s="108">
        <v>8949.41</v>
      </c>
      <c r="CB272" s="108">
        <v>7716.75</v>
      </c>
      <c r="CC272">
        <v>9844.35</v>
      </c>
      <c r="CD272">
        <v>8874.26</v>
      </c>
      <c r="CE272" s="189">
        <v>820</v>
      </c>
      <c r="CF272" s="189">
        <v>700</v>
      </c>
      <c r="CG272" s="189">
        <f t="shared" si="1268"/>
        <v>2237.35</v>
      </c>
      <c r="CH272" s="189">
        <f t="shared" si="1269"/>
        <v>1929.19</v>
      </c>
      <c r="CI272" s="150"/>
      <c r="CJ272" s="150"/>
      <c r="CK272" s="150">
        <v>2500</v>
      </c>
      <c r="CL272" s="150">
        <v>2295.42</v>
      </c>
      <c r="CM272" s="150"/>
      <c r="CN272" s="150"/>
      <c r="CO272" s="150">
        <v>9845</v>
      </c>
      <c r="CP272" s="150">
        <v>10400</v>
      </c>
      <c r="CQ272" s="150">
        <f t="shared" si="1270"/>
        <v>10000</v>
      </c>
      <c r="CR272" s="150">
        <f>ROUND(CL272/3*12,2)+1218.32</f>
        <v>10400</v>
      </c>
      <c r="CS272" s="150">
        <f t="shared" si="1272"/>
        <v>9845</v>
      </c>
      <c r="CT272" s="150">
        <f t="shared" si="1273"/>
        <v>10400</v>
      </c>
      <c r="CU272" s="150">
        <f t="shared" ref="CU272" si="1310">IF(CQ272&lt;CS272,CQ272,CS272)</f>
        <v>9845</v>
      </c>
      <c r="CV272" s="150">
        <f t="shared" ref="CV272" si="1311">IF(CR272&lt;CT272,CR272,CT272)</f>
        <v>10400</v>
      </c>
      <c r="CW272" s="150">
        <f>ROUND(CU272*25%,2)-0.48</f>
        <v>2460.77</v>
      </c>
      <c r="CX272" s="150">
        <f>ROUND(CV272*25%,2)-0.08-0.01</f>
        <v>2599.91</v>
      </c>
      <c r="CY272" s="150"/>
      <c r="CZ272" s="150"/>
      <c r="DA272" s="150">
        <f t="shared" si="1277"/>
        <v>5780.77</v>
      </c>
      <c r="DB272" s="150">
        <f t="shared" si="1278"/>
        <v>5595.33</v>
      </c>
      <c r="DC272" s="150">
        <v>5405.05</v>
      </c>
      <c r="DD272" s="150">
        <v>4090.12</v>
      </c>
      <c r="DE272" s="150">
        <f t="shared" si="1279"/>
        <v>375.72000000000025</v>
      </c>
      <c r="DF272" s="150">
        <f t="shared" si="1280"/>
        <v>1505.21</v>
      </c>
      <c r="DG272" s="150">
        <f t="shared" ref="DG272:DG285" si="1312">ROUND(0.25*(MIN(CU272,DO272)),2)</f>
        <v>2461.25</v>
      </c>
      <c r="DH272" s="150">
        <f t="shared" ref="DH272:DH285" si="1313">ROUND(0.25*(MIN(CV272,DP272)),2)</f>
        <v>2125</v>
      </c>
      <c r="DI272" s="150">
        <f>+DG272-DE272-0.87</f>
        <v>2084.66</v>
      </c>
      <c r="DJ272" s="150">
        <f>+DH272-DF272-0.8</f>
        <v>618.99</v>
      </c>
      <c r="DK272" s="104">
        <f t="shared" si="1157"/>
        <v>2134.5699999999997</v>
      </c>
      <c r="DL272" s="104">
        <f t="shared" si="1158"/>
        <v>2285.6800000000003</v>
      </c>
      <c r="DM272" s="104">
        <f t="shared" si="1246"/>
        <v>1979.5699999999997</v>
      </c>
      <c r="DN272" s="104">
        <f t="shared" si="1247"/>
        <v>4185.68</v>
      </c>
      <c r="DO272" s="104">
        <v>10000</v>
      </c>
      <c r="DP272" s="104">
        <v>8500</v>
      </c>
      <c r="DQ272" s="104">
        <v>10800</v>
      </c>
      <c r="DR272" s="104">
        <v>8000</v>
      </c>
    </row>
    <row r="273" spans="1:126" ht="18.75">
      <c r="A273" s="13">
        <v>2</v>
      </c>
      <c r="B273" s="13"/>
      <c r="C273" s="14"/>
      <c r="D273" s="15" t="s">
        <v>447</v>
      </c>
      <c r="E273" s="16"/>
      <c r="F273" s="81">
        <v>0</v>
      </c>
      <c r="G273" s="81">
        <v>0</v>
      </c>
      <c r="H273" s="81">
        <v>0</v>
      </c>
      <c r="I273" s="17">
        <v>0</v>
      </c>
      <c r="J273" s="86"/>
      <c r="K273" s="87"/>
      <c r="L273" s="87"/>
      <c r="M273" s="87"/>
      <c r="N273" s="87"/>
      <c r="O273" s="87"/>
      <c r="P273" s="87"/>
      <c r="Q273" s="87"/>
      <c r="R273" s="87"/>
      <c r="S273" s="87"/>
      <c r="V273" s="17"/>
      <c r="W273" s="17">
        <f t="shared" ref="W273:W285" si="1314">+U273+V273</f>
        <v>0</v>
      </c>
      <c r="X273" s="108">
        <f t="shared" si="1203"/>
        <v>0</v>
      </c>
      <c r="Y273" s="108">
        <f t="shared" si="1204"/>
        <v>0</v>
      </c>
      <c r="Z273" s="108"/>
      <c r="AA273" s="108"/>
      <c r="AB273" s="108">
        <f t="shared" si="1205"/>
        <v>0</v>
      </c>
      <c r="AC273" s="109">
        <f t="shared" si="1206"/>
        <v>0</v>
      </c>
      <c r="AD273" s="108"/>
      <c r="AE273" s="108"/>
      <c r="AF273" s="108">
        <f t="shared" si="1209"/>
        <v>0</v>
      </c>
      <c r="AG273" s="108">
        <f t="shared" si="1210"/>
        <v>0</v>
      </c>
      <c r="AH273" s="108">
        <f t="shared" si="1211"/>
        <v>0</v>
      </c>
      <c r="AI273" s="127">
        <f t="shared" si="1212"/>
        <v>0</v>
      </c>
      <c r="AJ273" s="108">
        <f t="shared" si="1213"/>
        <v>0</v>
      </c>
      <c r="AM273" s="108">
        <f t="shared" si="1214"/>
        <v>0</v>
      </c>
      <c r="AN273" s="108">
        <f t="shared" si="1215"/>
        <v>0</v>
      </c>
      <c r="AQ273" s="108">
        <f t="shared" si="1216"/>
        <v>0</v>
      </c>
      <c r="AR273" s="108">
        <f t="shared" si="1217"/>
        <v>0</v>
      </c>
      <c r="AU273" s="108">
        <f t="shared" si="1054"/>
        <v>0</v>
      </c>
      <c r="AV273" s="108">
        <f t="shared" si="1289"/>
        <v>0</v>
      </c>
      <c r="AY273" s="108">
        <f t="shared" si="1218"/>
        <v>0</v>
      </c>
      <c r="AZ273" s="108">
        <f t="shared" si="1219"/>
        <v>0</v>
      </c>
      <c r="BA273" s="108">
        <f t="shared" si="1220"/>
        <v>0</v>
      </c>
      <c r="BD273" s="139">
        <f t="shared" si="1221"/>
        <v>0</v>
      </c>
      <c r="BE273" s="139">
        <f t="shared" si="1222"/>
        <v>0</v>
      </c>
      <c r="BF273" s="139">
        <f t="shared" si="1223"/>
        <v>0</v>
      </c>
      <c r="BG273" s="139">
        <f t="shared" si="1224"/>
        <v>0</v>
      </c>
      <c r="BH273" s="108">
        <v>0</v>
      </c>
      <c r="BI273" s="108">
        <v>0</v>
      </c>
      <c r="BL273" s="108">
        <f t="shared" si="1244"/>
        <v>0</v>
      </c>
      <c r="BM273" s="108">
        <f t="shared" si="1262"/>
        <v>0</v>
      </c>
      <c r="BN273" s="108">
        <f t="shared" si="1263"/>
        <v>0</v>
      </c>
      <c r="BP273" s="127"/>
      <c r="BQ273" s="108">
        <f t="shared" si="1264"/>
        <v>0</v>
      </c>
      <c r="BR273" s="108">
        <f t="shared" si="1265"/>
        <v>0</v>
      </c>
      <c r="BS273" s="108">
        <f t="shared" si="1266"/>
        <v>0</v>
      </c>
      <c r="BT273" s="108">
        <f t="shared" si="1267"/>
        <v>0</v>
      </c>
      <c r="BU273" s="108">
        <f t="shared" si="1297"/>
        <v>0</v>
      </c>
      <c r="BV273" s="108">
        <f t="shared" ref="BV273:BV285" si="1315">ROUND(BT273-BR273,2)</f>
        <v>0</v>
      </c>
      <c r="CA273" s="108">
        <v>0</v>
      </c>
      <c r="CB273" s="108">
        <v>0</v>
      </c>
      <c r="CC273">
        <v>0</v>
      </c>
      <c r="CD273">
        <v>0</v>
      </c>
      <c r="CE273" s="189">
        <v>0</v>
      </c>
      <c r="CF273" s="189">
        <v>0</v>
      </c>
      <c r="CG273" s="189">
        <f t="shared" si="1268"/>
        <v>0</v>
      </c>
      <c r="CH273" s="189">
        <f t="shared" si="1269"/>
        <v>0</v>
      </c>
      <c r="CI273" s="150"/>
      <c r="CJ273" s="150"/>
      <c r="CK273" s="150"/>
      <c r="CL273" s="150"/>
      <c r="CM273" s="150"/>
      <c r="CN273" s="150"/>
      <c r="CO273" s="150"/>
      <c r="CP273" s="150"/>
      <c r="CQ273" s="150">
        <f t="shared" si="1270"/>
        <v>0</v>
      </c>
      <c r="CR273" s="150">
        <f t="shared" si="1271"/>
        <v>0</v>
      </c>
      <c r="CS273" s="150">
        <f t="shared" si="1272"/>
        <v>0</v>
      </c>
      <c r="CT273" s="150">
        <f t="shared" si="1273"/>
        <v>0</v>
      </c>
      <c r="CU273" s="150"/>
      <c r="CV273" s="150"/>
      <c r="CW273" s="150">
        <f t="shared" si="1276"/>
        <v>0</v>
      </c>
      <c r="CX273" s="150">
        <f t="shared" si="1290"/>
        <v>0</v>
      </c>
      <c r="CY273" s="150"/>
      <c r="CZ273" s="150"/>
      <c r="DA273" s="150">
        <f t="shared" si="1277"/>
        <v>0</v>
      </c>
      <c r="DB273" s="150">
        <f t="shared" si="1278"/>
        <v>0</v>
      </c>
      <c r="DC273" s="150"/>
      <c r="DD273" s="150"/>
      <c r="DE273" s="150">
        <f t="shared" si="1279"/>
        <v>0</v>
      </c>
      <c r="DF273" s="150">
        <f t="shared" si="1280"/>
        <v>0</v>
      </c>
      <c r="DG273" s="150">
        <f t="shared" si="1312"/>
        <v>0</v>
      </c>
      <c r="DH273" s="150">
        <f t="shared" si="1313"/>
        <v>0</v>
      </c>
      <c r="DI273" s="150">
        <f t="shared" ref="DI273:DI285" si="1316">+DG273-DE273</f>
        <v>0</v>
      </c>
      <c r="DJ273" s="150">
        <f t="shared" ref="DJ273:DJ285" si="1317">+DH273-DF273</f>
        <v>0</v>
      </c>
      <c r="DK273" s="104">
        <f t="shared" si="1157"/>
        <v>0</v>
      </c>
      <c r="DL273" s="104">
        <f t="shared" si="1158"/>
        <v>0</v>
      </c>
      <c r="DM273" s="104">
        <f t="shared" si="1246"/>
        <v>0</v>
      </c>
      <c r="DN273" s="104">
        <f t="shared" si="1247"/>
        <v>0</v>
      </c>
    </row>
    <row r="274" spans="1:126" ht="18.75">
      <c r="A274" s="13">
        <v>3</v>
      </c>
      <c r="B274" s="13"/>
      <c r="C274" s="14"/>
      <c r="D274" s="15" t="s">
        <v>448</v>
      </c>
      <c r="E274" s="16"/>
      <c r="F274" s="81">
        <v>0</v>
      </c>
      <c r="G274" s="81">
        <v>0</v>
      </c>
      <c r="H274" s="81">
        <v>0</v>
      </c>
      <c r="I274" s="17">
        <v>0</v>
      </c>
      <c r="J274" s="86"/>
      <c r="K274" s="87"/>
      <c r="L274" s="87"/>
      <c r="M274" s="87"/>
      <c r="N274" s="87"/>
      <c r="O274" s="87"/>
      <c r="P274" s="87"/>
      <c r="Q274" s="87"/>
      <c r="R274" s="87"/>
      <c r="S274" s="87"/>
      <c r="V274" s="17"/>
      <c r="W274" s="17">
        <f t="shared" si="1314"/>
        <v>0</v>
      </c>
      <c r="X274" s="108">
        <f t="shared" si="1203"/>
        <v>0</v>
      </c>
      <c r="Y274" s="108">
        <f t="shared" si="1204"/>
        <v>0</v>
      </c>
      <c r="Z274" s="108"/>
      <c r="AA274" s="108"/>
      <c r="AB274" s="108">
        <f t="shared" si="1205"/>
        <v>0</v>
      </c>
      <c r="AC274" s="109">
        <f t="shared" si="1206"/>
        <v>0</v>
      </c>
      <c r="AD274" s="108"/>
      <c r="AE274" s="108"/>
      <c r="AF274" s="108">
        <f t="shared" si="1209"/>
        <v>0</v>
      </c>
      <c r="AG274" s="108">
        <f t="shared" si="1210"/>
        <v>0</v>
      </c>
      <c r="AH274" s="108">
        <f t="shared" si="1211"/>
        <v>0</v>
      </c>
      <c r="AI274" s="127">
        <f t="shared" si="1212"/>
        <v>0</v>
      </c>
      <c r="AJ274" s="108">
        <f t="shared" si="1213"/>
        <v>0</v>
      </c>
      <c r="AM274" s="108">
        <f t="shared" si="1214"/>
        <v>0</v>
      </c>
      <c r="AN274" s="108">
        <f t="shared" si="1215"/>
        <v>0</v>
      </c>
      <c r="AQ274" s="108">
        <f t="shared" si="1216"/>
        <v>0</v>
      </c>
      <c r="AR274" s="108">
        <f t="shared" si="1217"/>
        <v>0</v>
      </c>
      <c r="AU274" s="108">
        <f t="shared" si="1054"/>
        <v>0</v>
      </c>
      <c r="AV274" s="108">
        <f t="shared" si="1289"/>
        <v>0</v>
      </c>
      <c r="AY274" s="108">
        <f t="shared" si="1218"/>
        <v>0</v>
      </c>
      <c r="AZ274" s="108">
        <f t="shared" si="1219"/>
        <v>0</v>
      </c>
      <c r="BA274" s="108">
        <f t="shared" si="1220"/>
        <v>0</v>
      </c>
      <c r="BD274" s="139">
        <f t="shared" si="1221"/>
        <v>0</v>
      </c>
      <c r="BE274" s="139">
        <f t="shared" si="1222"/>
        <v>0</v>
      </c>
      <c r="BF274" s="139">
        <f t="shared" si="1223"/>
        <v>0</v>
      </c>
      <c r="BG274" s="139">
        <f t="shared" si="1224"/>
        <v>0</v>
      </c>
      <c r="BH274" s="108">
        <v>0</v>
      </c>
      <c r="BI274" s="108">
        <v>0</v>
      </c>
      <c r="BL274" s="108">
        <f t="shared" si="1244"/>
        <v>0</v>
      </c>
      <c r="BM274" s="108">
        <f t="shared" si="1262"/>
        <v>0</v>
      </c>
      <c r="BN274" s="108">
        <f t="shared" si="1263"/>
        <v>0</v>
      </c>
      <c r="BP274" s="127"/>
      <c r="BQ274" s="108">
        <f t="shared" si="1264"/>
        <v>0</v>
      </c>
      <c r="BR274" s="108">
        <f t="shared" si="1265"/>
        <v>0</v>
      </c>
      <c r="BS274" s="108">
        <f t="shared" si="1266"/>
        <v>0</v>
      </c>
      <c r="BT274" s="108">
        <f t="shared" si="1267"/>
        <v>0</v>
      </c>
      <c r="BU274" s="108">
        <f t="shared" si="1297"/>
        <v>0</v>
      </c>
      <c r="BV274" s="108">
        <f t="shared" si="1315"/>
        <v>0</v>
      </c>
      <c r="CA274" s="108">
        <v>0</v>
      </c>
      <c r="CB274" s="108">
        <v>0</v>
      </c>
      <c r="CC274">
        <v>0</v>
      </c>
      <c r="CD274">
        <v>0</v>
      </c>
      <c r="CE274" s="189">
        <v>0</v>
      </c>
      <c r="CF274" s="189">
        <v>0</v>
      </c>
      <c r="CG274" s="189">
        <f t="shared" si="1268"/>
        <v>0</v>
      </c>
      <c r="CH274" s="189">
        <f t="shared" si="1269"/>
        <v>0</v>
      </c>
      <c r="CI274" s="150"/>
      <c r="CJ274" s="150"/>
      <c r="CK274" s="150"/>
      <c r="CL274" s="150"/>
      <c r="CM274" s="150"/>
      <c r="CN274" s="150"/>
      <c r="CO274" s="150"/>
      <c r="CP274" s="150"/>
      <c r="CQ274" s="150">
        <f t="shared" si="1270"/>
        <v>0</v>
      </c>
      <c r="CR274" s="150">
        <f t="shared" si="1271"/>
        <v>0</v>
      </c>
      <c r="CS274" s="150">
        <f t="shared" si="1272"/>
        <v>0</v>
      </c>
      <c r="CT274" s="150">
        <f t="shared" si="1273"/>
        <v>0</v>
      </c>
      <c r="CU274" s="150"/>
      <c r="CV274" s="150"/>
      <c r="CW274" s="150">
        <f t="shared" si="1276"/>
        <v>0</v>
      </c>
      <c r="CX274" s="150">
        <f t="shared" si="1290"/>
        <v>0</v>
      </c>
      <c r="CY274" s="150"/>
      <c r="CZ274" s="150"/>
      <c r="DA274" s="150">
        <f t="shared" si="1277"/>
        <v>0</v>
      </c>
      <c r="DB274" s="150">
        <f t="shared" si="1278"/>
        <v>0</v>
      </c>
      <c r="DC274" s="150"/>
      <c r="DD274" s="150"/>
      <c r="DE274" s="150">
        <f t="shared" si="1279"/>
        <v>0</v>
      </c>
      <c r="DF274" s="150">
        <f t="shared" si="1280"/>
        <v>0</v>
      </c>
      <c r="DG274" s="150">
        <f t="shared" si="1312"/>
        <v>0</v>
      </c>
      <c r="DH274" s="150">
        <f t="shared" si="1313"/>
        <v>0</v>
      </c>
      <c r="DI274" s="150">
        <f t="shared" si="1316"/>
        <v>0</v>
      </c>
      <c r="DJ274" s="150">
        <f t="shared" si="1317"/>
        <v>0</v>
      </c>
      <c r="DK274" s="104">
        <f t="shared" si="1157"/>
        <v>0</v>
      </c>
      <c r="DL274" s="104">
        <f t="shared" si="1158"/>
        <v>0</v>
      </c>
      <c r="DM274" s="104">
        <f t="shared" si="1246"/>
        <v>0</v>
      </c>
      <c r="DN274" s="104">
        <f t="shared" si="1247"/>
        <v>0</v>
      </c>
    </row>
    <row r="275" spans="1:126" ht="18.75">
      <c r="A275" s="13">
        <v>4</v>
      </c>
      <c r="B275" s="13"/>
      <c r="C275" s="14"/>
      <c r="D275" s="15" t="s">
        <v>449</v>
      </c>
      <c r="E275" s="16"/>
      <c r="F275" s="81">
        <v>0</v>
      </c>
      <c r="G275" s="81">
        <v>0</v>
      </c>
      <c r="H275" s="81">
        <v>0</v>
      </c>
      <c r="I275" s="17">
        <v>0</v>
      </c>
      <c r="J275" s="86"/>
      <c r="K275" s="87"/>
      <c r="L275" s="87"/>
      <c r="M275" s="87"/>
      <c r="N275" s="87"/>
      <c r="O275" s="87"/>
      <c r="P275" s="87"/>
      <c r="Q275" s="87"/>
      <c r="R275" s="87"/>
      <c r="S275" s="87"/>
      <c r="V275" s="17"/>
      <c r="W275" s="17">
        <f t="shared" si="1314"/>
        <v>0</v>
      </c>
      <c r="X275" s="108">
        <f t="shared" si="1203"/>
        <v>0</v>
      </c>
      <c r="Y275" s="108">
        <f t="shared" si="1204"/>
        <v>0</v>
      </c>
      <c r="Z275" s="108"/>
      <c r="AA275" s="108"/>
      <c r="AB275" s="108">
        <f t="shared" si="1205"/>
        <v>0</v>
      </c>
      <c r="AC275" s="109">
        <f t="shared" si="1206"/>
        <v>0</v>
      </c>
      <c r="AD275" s="108"/>
      <c r="AE275" s="108"/>
      <c r="AF275" s="108">
        <f t="shared" si="1209"/>
        <v>0</v>
      </c>
      <c r="AG275" s="108">
        <f t="shared" si="1210"/>
        <v>0</v>
      </c>
      <c r="AH275" s="108">
        <f t="shared" si="1211"/>
        <v>0</v>
      </c>
      <c r="AI275" s="127">
        <f t="shared" si="1212"/>
        <v>0</v>
      </c>
      <c r="AJ275" s="108">
        <f t="shared" si="1213"/>
        <v>0</v>
      </c>
      <c r="AM275" s="108">
        <f t="shared" si="1214"/>
        <v>0</v>
      </c>
      <c r="AN275" s="108">
        <f t="shared" si="1215"/>
        <v>0</v>
      </c>
      <c r="AQ275" s="108">
        <f t="shared" si="1216"/>
        <v>0</v>
      </c>
      <c r="AR275" s="108">
        <f t="shared" si="1217"/>
        <v>0</v>
      </c>
      <c r="AU275" s="108">
        <f t="shared" si="1054"/>
        <v>0</v>
      </c>
      <c r="AV275" s="108">
        <f t="shared" si="1289"/>
        <v>0</v>
      </c>
      <c r="AY275" s="108">
        <f t="shared" si="1218"/>
        <v>0</v>
      </c>
      <c r="AZ275" s="108">
        <f t="shared" si="1219"/>
        <v>0</v>
      </c>
      <c r="BA275" s="108">
        <f t="shared" si="1220"/>
        <v>0</v>
      </c>
      <c r="BD275" s="139">
        <f t="shared" si="1221"/>
        <v>0</v>
      </c>
      <c r="BE275" s="139">
        <f t="shared" si="1222"/>
        <v>0</v>
      </c>
      <c r="BF275" s="139">
        <f t="shared" si="1223"/>
        <v>0</v>
      </c>
      <c r="BG275" s="139">
        <f t="shared" si="1224"/>
        <v>0</v>
      </c>
      <c r="BH275" s="108">
        <v>0</v>
      </c>
      <c r="BI275" s="108">
        <v>0</v>
      </c>
      <c r="BL275" s="108">
        <f t="shared" si="1244"/>
        <v>0</v>
      </c>
      <c r="BM275" s="108">
        <f t="shared" si="1262"/>
        <v>0</v>
      </c>
      <c r="BN275" s="108">
        <f t="shared" si="1263"/>
        <v>0</v>
      </c>
      <c r="BP275" s="127"/>
      <c r="BQ275" s="108">
        <f t="shared" si="1264"/>
        <v>0</v>
      </c>
      <c r="BR275" s="108">
        <f t="shared" si="1265"/>
        <v>0</v>
      </c>
      <c r="BS275" s="108">
        <f t="shared" si="1266"/>
        <v>0</v>
      </c>
      <c r="BT275" s="108">
        <f t="shared" si="1267"/>
        <v>0</v>
      </c>
      <c r="BU275" s="108">
        <f t="shared" si="1297"/>
        <v>0</v>
      </c>
      <c r="BV275" s="108">
        <f t="shared" si="1315"/>
        <v>0</v>
      </c>
      <c r="CA275" s="108">
        <v>0</v>
      </c>
      <c r="CB275" s="108">
        <v>0</v>
      </c>
      <c r="CC275">
        <v>0</v>
      </c>
      <c r="CD275">
        <v>0</v>
      </c>
      <c r="CE275" s="189">
        <v>0</v>
      </c>
      <c r="CF275" s="189">
        <v>0</v>
      </c>
      <c r="CG275" s="189">
        <f t="shared" si="1268"/>
        <v>0</v>
      </c>
      <c r="CH275" s="189">
        <f t="shared" si="1269"/>
        <v>0</v>
      </c>
      <c r="CI275" s="150"/>
      <c r="CJ275" s="150"/>
      <c r="CK275" s="150"/>
      <c r="CL275" s="150"/>
      <c r="CM275" s="150"/>
      <c r="CN275" s="150"/>
      <c r="CO275" s="150"/>
      <c r="CP275" s="150"/>
      <c r="CQ275" s="150">
        <f t="shared" si="1270"/>
        <v>0</v>
      </c>
      <c r="CR275" s="150">
        <f t="shared" si="1271"/>
        <v>0</v>
      </c>
      <c r="CS275" s="150">
        <f t="shared" si="1272"/>
        <v>0</v>
      </c>
      <c r="CT275" s="150">
        <f t="shared" si="1273"/>
        <v>0</v>
      </c>
      <c r="CU275" s="150"/>
      <c r="CV275" s="150"/>
      <c r="CW275" s="150">
        <f t="shared" si="1276"/>
        <v>0</v>
      </c>
      <c r="CX275" s="150">
        <f t="shared" si="1290"/>
        <v>0</v>
      </c>
      <c r="CY275" s="150"/>
      <c r="CZ275" s="150"/>
      <c r="DA275" s="150">
        <f t="shared" si="1277"/>
        <v>0</v>
      </c>
      <c r="DB275" s="150">
        <f t="shared" si="1278"/>
        <v>0</v>
      </c>
      <c r="DC275" s="150"/>
      <c r="DD275" s="150"/>
      <c r="DE275" s="150">
        <f t="shared" si="1279"/>
        <v>0</v>
      </c>
      <c r="DF275" s="150">
        <f t="shared" si="1280"/>
        <v>0</v>
      </c>
      <c r="DG275" s="150">
        <f t="shared" si="1312"/>
        <v>0</v>
      </c>
      <c r="DH275" s="150">
        <f t="shared" si="1313"/>
        <v>0</v>
      </c>
      <c r="DI275" s="150">
        <f t="shared" si="1316"/>
        <v>0</v>
      </c>
      <c r="DJ275" s="150">
        <f t="shared" si="1317"/>
        <v>0</v>
      </c>
      <c r="DK275" s="104">
        <f t="shared" si="1157"/>
        <v>0</v>
      </c>
      <c r="DL275" s="104">
        <f t="shared" si="1158"/>
        <v>0</v>
      </c>
      <c r="DM275" s="104">
        <f t="shared" si="1246"/>
        <v>0</v>
      </c>
      <c r="DN275" s="104">
        <f t="shared" si="1247"/>
        <v>0</v>
      </c>
    </row>
    <row r="276" spans="1:126" ht="18.75">
      <c r="A276" s="13">
        <v>5</v>
      </c>
      <c r="B276" s="13"/>
      <c r="C276" s="14"/>
      <c r="D276" s="15" t="s">
        <v>450</v>
      </c>
      <c r="E276" s="16"/>
      <c r="F276" s="81">
        <v>0</v>
      </c>
      <c r="G276" s="81">
        <v>0</v>
      </c>
      <c r="H276" s="81">
        <v>0</v>
      </c>
      <c r="I276" s="17">
        <v>0</v>
      </c>
      <c r="J276" s="86"/>
      <c r="K276" s="87"/>
      <c r="L276" s="87"/>
      <c r="M276" s="87"/>
      <c r="N276" s="87"/>
      <c r="O276" s="87"/>
      <c r="P276" s="87"/>
      <c r="Q276" s="87"/>
      <c r="R276" s="87"/>
      <c r="S276" s="87"/>
      <c r="V276" s="17"/>
      <c r="W276" s="17">
        <f t="shared" si="1314"/>
        <v>0</v>
      </c>
      <c r="X276" s="108">
        <f t="shared" si="1203"/>
        <v>0</v>
      </c>
      <c r="Y276" s="108">
        <f t="shared" si="1204"/>
        <v>0</v>
      </c>
      <c r="Z276" s="108"/>
      <c r="AA276" s="108"/>
      <c r="AB276" s="108">
        <f t="shared" si="1205"/>
        <v>0</v>
      </c>
      <c r="AC276" s="109">
        <f t="shared" si="1206"/>
        <v>0</v>
      </c>
      <c r="AD276" s="108"/>
      <c r="AE276" s="108"/>
      <c r="AF276" s="108">
        <f t="shared" si="1209"/>
        <v>0</v>
      </c>
      <c r="AG276" s="108">
        <f t="shared" si="1210"/>
        <v>0</v>
      </c>
      <c r="AH276" s="108">
        <f t="shared" si="1211"/>
        <v>0</v>
      </c>
      <c r="AI276" s="127">
        <f t="shared" si="1212"/>
        <v>0</v>
      </c>
      <c r="AJ276" s="108">
        <f t="shared" si="1213"/>
        <v>0</v>
      </c>
      <c r="AM276" s="108">
        <f t="shared" si="1214"/>
        <v>0</v>
      </c>
      <c r="AN276" s="108">
        <f t="shared" si="1215"/>
        <v>0</v>
      </c>
      <c r="AQ276" s="108">
        <f t="shared" si="1216"/>
        <v>0</v>
      </c>
      <c r="AR276" s="108">
        <f t="shared" si="1217"/>
        <v>0</v>
      </c>
      <c r="AU276" s="108">
        <f t="shared" si="1054"/>
        <v>0</v>
      </c>
      <c r="AV276" s="108">
        <f t="shared" si="1289"/>
        <v>0</v>
      </c>
      <c r="AY276" s="108">
        <f t="shared" si="1218"/>
        <v>0</v>
      </c>
      <c r="AZ276" s="108">
        <f t="shared" si="1219"/>
        <v>0</v>
      </c>
      <c r="BA276" s="108">
        <f t="shared" si="1220"/>
        <v>0</v>
      </c>
      <c r="BD276" s="139">
        <f t="shared" si="1221"/>
        <v>0</v>
      </c>
      <c r="BE276" s="139">
        <f t="shared" si="1222"/>
        <v>0</v>
      </c>
      <c r="BF276" s="139">
        <f t="shared" si="1223"/>
        <v>0</v>
      </c>
      <c r="BG276" s="139">
        <f t="shared" si="1224"/>
        <v>0</v>
      </c>
      <c r="BH276" s="108">
        <v>0</v>
      </c>
      <c r="BI276" s="108">
        <v>0</v>
      </c>
      <c r="BL276" s="108">
        <f t="shared" si="1244"/>
        <v>0</v>
      </c>
      <c r="BM276" s="108">
        <f t="shared" si="1262"/>
        <v>0</v>
      </c>
      <c r="BN276" s="108">
        <f t="shared" si="1263"/>
        <v>0</v>
      </c>
      <c r="BP276" s="127"/>
      <c r="BQ276" s="108">
        <f t="shared" si="1264"/>
        <v>0</v>
      </c>
      <c r="BR276" s="108">
        <f t="shared" si="1265"/>
        <v>0</v>
      </c>
      <c r="BS276" s="108">
        <f t="shared" si="1266"/>
        <v>0</v>
      </c>
      <c r="BT276" s="108">
        <f t="shared" si="1267"/>
        <v>0</v>
      </c>
      <c r="BU276" s="108">
        <f t="shared" si="1297"/>
        <v>0</v>
      </c>
      <c r="BV276" s="108">
        <f t="shared" si="1315"/>
        <v>0</v>
      </c>
      <c r="CA276" s="108">
        <v>0</v>
      </c>
      <c r="CB276" s="108">
        <v>0</v>
      </c>
      <c r="CC276">
        <v>0</v>
      </c>
      <c r="CD276">
        <v>0</v>
      </c>
      <c r="CE276" s="189">
        <v>0</v>
      </c>
      <c r="CF276" s="189">
        <v>0</v>
      </c>
      <c r="CG276" s="189">
        <f t="shared" si="1268"/>
        <v>0</v>
      </c>
      <c r="CH276" s="189">
        <f t="shared" si="1269"/>
        <v>0</v>
      </c>
      <c r="CI276" s="150"/>
      <c r="CJ276" s="150"/>
      <c r="CK276" s="150"/>
      <c r="CL276" s="150"/>
      <c r="CM276" s="150"/>
      <c r="CN276" s="150"/>
      <c r="CO276" s="150"/>
      <c r="CP276" s="150"/>
      <c r="CQ276" s="150">
        <f t="shared" si="1270"/>
        <v>0</v>
      </c>
      <c r="CR276" s="150">
        <f t="shared" si="1271"/>
        <v>0</v>
      </c>
      <c r="CS276" s="150">
        <f t="shared" si="1272"/>
        <v>0</v>
      </c>
      <c r="CT276" s="150">
        <f t="shared" si="1273"/>
        <v>0</v>
      </c>
      <c r="CU276" s="150"/>
      <c r="CV276" s="150"/>
      <c r="CW276" s="150">
        <f t="shared" si="1276"/>
        <v>0</v>
      </c>
      <c r="CX276" s="150">
        <f t="shared" si="1290"/>
        <v>0</v>
      </c>
      <c r="CY276" s="150"/>
      <c r="CZ276" s="150"/>
      <c r="DA276" s="150">
        <f t="shared" si="1277"/>
        <v>0</v>
      </c>
      <c r="DB276" s="150">
        <f t="shared" si="1278"/>
        <v>0</v>
      </c>
      <c r="DC276" s="150"/>
      <c r="DD276" s="150"/>
      <c r="DE276" s="150">
        <f t="shared" si="1279"/>
        <v>0</v>
      </c>
      <c r="DF276" s="150">
        <f t="shared" si="1280"/>
        <v>0</v>
      </c>
      <c r="DG276" s="150">
        <f t="shared" si="1312"/>
        <v>0</v>
      </c>
      <c r="DH276" s="150">
        <f t="shared" si="1313"/>
        <v>0</v>
      </c>
      <c r="DI276" s="150">
        <f t="shared" si="1316"/>
        <v>0</v>
      </c>
      <c r="DJ276" s="150">
        <f t="shared" si="1317"/>
        <v>0</v>
      </c>
      <c r="DK276" s="104">
        <f t="shared" si="1157"/>
        <v>0</v>
      </c>
      <c r="DL276" s="104">
        <f t="shared" si="1158"/>
        <v>0</v>
      </c>
      <c r="DM276" s="104">
        <f t="shared" si="1246"/>
        <v>0</v>
      </c>
      <c r="DN276" s="104">
        <f t="shared" si="1247"/>
        <v>0</v>
      </c>
    </row>
    <row r="277" spans="1:126" ht="18.75">
      <c r="A277" s="13">
        <v>6</v>
      </c>
      <c r="B277" s="13"/>
      <c r="C277" s="14"/>
      <c r="D277" s="15" t="s">
        <v>451</v>
      </c>
      <c r="E277" s="16"/>
      <c r="F277" s="81">
        <v>0</v>
      </c>
      <c r="G277" s="81">
        <v>0</v>
      </c>
      <c r="H277" s="81">
        <v>0</v>
      </c>
      <c r="I277" s="17">
        <v>0</v>
      </c>
      <c r="J277" s="86"/>
      <c r="K277" s="87"/>
      <c r="L277" s="87"/>
      <c r="M277" s="87"/>
      <c r="N277" s="87"/>
      <c r="O277" s="87"/>
      <c r="P277" s="87"/>
      <c r="Q277" s="87"/>
      <c r="R277" s="87"/>
      <c r="S277" s="87"/>
      <c r="V277" s="17"/>
      <c r="W277" s="17">
        <f t="shared" si="1314"/>
        <v>0</v>
      </c>
      <c r="X277" s="108">
        <f t="shared" si="1203"/>
        <v>0</v>
      </c>
      <c r="Y277" s="108">
        <f t="shared" si="1204"/>
        <v>0</v>
      </c>
      <c r="Z277" s="108"/>
      <c r="AA277" s="108"/>
      <c r="AB277" s="108">
        <f t="shared" si="1205"/>
        <v>0</v>
      </c>
      <c r="AC277" s="109">
        <f t="shared" si="1206"/>
        <v>0</v>
      </c>
      <c r="AD277" s="108"/>
      <c r="AE277" s="108"/>
      <c r="AF277" s="108">
        <f t="shared" si="1209"/>
        <v>0</v>
      </c>
      <c r="AG277" s="108">
        <f t="shared" si="1210"/>
        <v>0</v>
      </c>
      <c r="AH277" s="108">
        <f t="shared" si="1211"/>
        <v>0</v>
      </c>
      <c r="AI277" s="127">
        <f t="shared" si="1212"/>
        <v>0</v>
      </c>
      <c r="AJ277" s="108">
        <f t="shared" si="1213"/>
        <v>0</v>
      </c>
      <c r="AM277" s="108">
        <f t="shared" si="1214"/>
        <v>0</v>
      </c>
      <c r="AN277" s="108">
        <f t="shared" si="1215"/>
        <v>0</v>
      </c>
      <c r="AQ277" s="108">
        <f t="shared" si="1216"/>
        <v>0</v>
      </c>
      <c r="AR277" s="108">
        <f t="shared" si="1217"/>
        <v>0</v>
      </c>
      <c r="AU277" s="108">
        <f t="shared" si="1054"/>
        <v>0</v>
      </c>
      <c r="AV277" s="108">
        <f t="shared" si="1289"/>
        <v>0</v>
      </c>
      <c r="AY277" s="108">
        <f t="shared" si="1218"/>
        <v>0</v>
      </c>
      <c r="AZ277" s="108">
        <f t="shared" si="1219"/>
        <v>0</v>
      </c>
      <c r="BA277" s="108">
        <f t="shared" si="1220"/>
        <v>0</v>
      </c>
      <c r="BD277" s="139">
        <f t="shared" si="1221"/>
        <v>0</v>
      </c>
      <c r="BE277" s="139">
        <f t="shared" si="1222"/>
        <v>0</v>
      </c>
      <c r="BF277" s="139">
        <f t="shared" si="1223"/>
        <v>0</v>
      </c>
      <c r="BG277" s="139">
        <f t="shared" si="1224"/>
        <v>0</v>
      </c>
      <c r="BH277" s="108">
        <v>0</v>
      </c>
      <c r="BI277" s="108">
        <v>0</v>
      </c>
      <c r="BL277" s="108">
        <f t="shared" si="1244"/>
        <v>0</v>
      </c>
      <c r="BM277" s="108">
        <f t="shared" si="1262"/>
        <v>0</v>
      </c>
      <c r="BN277" s="108">
        <f t="shared" si="1263"/>
        <v>0</v>
      </c>
      <c r="BP277" s="127"/>
      <c r="BQ277" s="108">
        <f t="shared" si="1264"/>
        <v>0</v>
      </c>
      <c r="BR277" s="108">
        <f t="shared" si="1265"/>
        <v>0</v>
      </c>
      <c r="BS277" s="108">
        <f t="shared" si="1266"/>
        <v>0</v>
      </c>
      <c r="BT277" s="108">
        <f t="shared" si="1267"/>
        <v>0</v>
      </c>
      <c r="BU277" s="108">
        <f t="shared" si="1297"/>
        <v>0</v>
      </c>
      <c r="BV277" s="108">
        <f t="shared" si="1315"/>
        <v>0</v>
      </c>
      <c r="CA277" s="108">
        <v>0</v>
      </c>
      <c r="CB277" s="108">
        <v>0</v>
      </c>
      <c r="CC277">
        <v>0</v>
      </c>
      <c r="CD277">
        <v>0</v>
      </c>
      <c r="CE277" s="189">
        <v>0</v>
      </c>
      <c r="CF277" s="189">
        <v>0</v>
      </c>
      <c r="CG277" s="189">
        <f t="shared" si="1268"/>
        <v>0</v>
      </c>
      <c r="CH277" s="189">
        <f t="shared" si="1269"/>
        <v>0</v>
      </c>
      <c r="CI277" s="150"/>
      <c r="CJ277" s="150"/>
      <c r="CK277" s="150"/>
      <c r="CL277" s="150"/>
      <c r="CM277" s="150"/>
      <c r="CN277" s="150"/>
      <c r="CO277" s="150"/>
      <c r="CP277" s="150"/>
      <c r="CQ277" s="150">
        <f t="shared" si="1270"/>
        <v>0</v>
      </c>
      <c r="CR277" s="150">
        <f t="shared" si="1271"/>
        <v>0</v>
      </c>
      <c r="CS277" s="150">
        <f t="shared" si="1272"/>
        <v>0</v>
      </c>
      <c r="CT277" s="150">
        <f t="shared" si="1273"/>
        <v>0</v>
      </c>
      <c r="CU277" s="150"/>
      <c r="CV277" s="150"/>
      <c r="CW277" s="150">
        <f t="shared" si="1276"/>
        <v>0</v>
      </c>
      <c r="CX277" s="150">
        <f t="shared" si="1290"/>
        <v>0</v>
      </c>
      <c r="CY277" s="150"/>
      <c r="CZ277" s="150"/>
      <c r="DA277" s="150">
        <f t="shared" si="1277"/>
        <v>0</v>
      </c>
      <c r="DB277" s="150">
        <f t="shared" si="1278"/>
        <v>0</v>
      </c>
      <c r="DC277" s="150"/>
      <c r="DD277" s="150"/>
      <c r="DE277" s="150">
        <f t="shared" si="1279"/>
        <v>0</v>
      </c>
      <c r="DF277" s="150">
        <f t="shared" si="1280"/>
        <v>0</v>
      </c>
      <c r="DG277" s="150">
        <f t="shared" si="1312"/>
        <v>0</v>
      </c>
      <c r="DH277" s="150">
        <f t="shared" si="1313"/>
        <v>0</v>
      </c>
      <c r="DI277" s="150">
        <f t="shared" si="1316"/>
        <v>0</v>
      </c>
      <c r="DJ277" s="150">
        <f t="shared" si="1317"/>
        <v>0</v>
      </c>
      <c r="DK277" s="104">
        <f t="shared" si="1157"/>
        <v>0</v>
      </c>
      <c r="DL277" s="104">
        <f t="shared" si="1158"/>
        <v>0</v>
      </c>
      <c r="DM277" s="104">
        <f t="shared" si="1246"/>
        <v>0</v>
      </c>
      <c r="DN277" s="104">
        <f t="shared" si="1247"/>
        <v>0</v>
      </c>
    </row>
    <row r="278" spans="1:126" ht="18.75">
      <c r="A278" s="13">
        <v>7</v>
      </c>
      <c r="B278" s="13"/>
      <c r="C278" s="14"/>
      <c r="D278" s="15" t="s">
        <v>452</v>
      </c>
      <c r="E278" s="16"/>
      <c r="F278" s="81">
        <v>0</v>
      </c>
      <c r="G278" s="81">
        <v>0</v>
      </c>
      <c r="H278" s="81">
        <v>0</v>
      </c>
      <c r="I278" s="17">
        <v>0</v>
      </c>
      <c r="J278" s="86"/>
      <c r="K278" s="87"/>
      <c r="L278" s="87"/>
      <c r="M278" s="87"/>
      <c r="N278" s="87"/>
      <c r="O278" s="87"/>
      <c r="P278" s="87"/>
      <c r="Q278" s="87"/>
      <c r="R278" s="87"/>
      <c r="S278" s="87"/>
      <c r="V278" s="17"/>
      <c r="W278" s="17">
        <f t="shared" si="1314"/>
        <v>0</v>
      </c>
      <c r="X278" s="108">
        <f t="shared" si="1203"/>
        <v>0</v>
      </c>
      <c r="Y278" s="108">
        <f t="shared" si="1204"/>
        <v>0</v>
      </c>
      <c r="Z278" s="108"/>
      <c r="AA278" s="108"/>
      <c r="AB278" s="108">
        <f t="shared" si="1205"/>
        <v>0</v>
      </c>
      <c r="AC278" s="109">
        <f t="shared" si="1206"/>
        <v>0</v>
      </c>
      <c r="AD278" s="108"/>
      <c r="AE278" s="108"/>
      <c r="AF278" s="108">
        <f t="shared" si="1209"/>
        <v>0</v>
      </c>
      <c r="AG278" s="108">
        <f t="shared" si="1210"/>
        <v>0</v>
      </c>
      <c r="AH278" s="108">
        <f t="shared" si="1211"/>
        <v>0</v>
      </c>
      <c r="AI278" s="127">
        <f t="shared" si="1212"/>
        <v>0</v>
      </c>
      <c r="AJ278" s="108">
        <f t="shared" si="1213"/>
        <v>0</v>
      </c>
      <c r="AM278" s="108">
        <f t="shared" si="1214"/>
        <v>0</v>
      </c>
      <c r="AN278" s="108">
        <f t="shared" si="1215"/>
        <v>0</v>
      </c>
      <c r="AQ278" s="108">
        <f t="shared" si="1216"/>
        <v>0</v>
      </c>
      <c r="AR278" s="108">
        <f t="shared" si="1217"/>
        <v>0</v>
      </c>
      <c r="AU278" s="108">
        <f t="shared" si="1054"/>
        <v>0</v>
      </c>
      <c r="AV278" s="108">
        <f t="shared" si="1289"/>
        <v>0</v>
      </c>
      <c r="AY278" s="108">
        <f t="shared" si="1218"/>
        <v>0</v>
      </c>
      <c r="AZ278" s="108">
        <f t="shared" si="1219"/>
        <v>0</v>
      </c>
      <c r="BA278" s="108">
        <f t="shared" si="1220"/>
        <v>0</v>
      </c>
      <c r="BD278" s="139">
        <f t="shared" si="1221"/>
        <v>0</v>
      </c>
      <c r="BE278" s="139">
        <f t="shared" si="1222"/>
        <v>0</v>
      </c>
      <c r="BF278" s="139">
        <f t="shared" si="1223"/>
        <v>0</v>
      </c>
      <c r="BG278" s="139">
        <f t="shared" si="1224"/>
        <v>0</v>
      </c>
      <c r="BH278" s="108">
        <v>0</v>
      </c>
      <c r="BI278" s="108">
        <v>0</v>
      </c>
      <c r="BL278" s="108">
        <f t="shared" si="1244"/>
        <v>0</v>
      </c>
      <c r="BM278" s="108">
        <f t="shared" si="1262"/>
        <v>0</v>
      </c>
      <c r="BN278" s="108">
        <f t="shared" si="1263"/>
        <v>0</v>
      </c>
      <c r="BP278" s="127"/>
      <c r="BQ278" s="108">
        <f t="shared" si="1264"/>
        <v>0</v>
      </c>
      <c r="BR278" s="108">
        <f t="shared" si="1265"/>
        <v>0</v>
      </c>
      <c r="BS278" s="108">
        <f t="shared" si="1266"/>
        <v>0</v>
      </c>
      <c r="BT278" s="108">
        <f t="shared" si="1267"/>
        <v>0</v>
      </c>
      <c r="BU278" s="108">
        <f t="shared" si="1297"/>
        <v>0</v>
      </c>
      <c r="BV278" s="108">
        <f t="shared" si="1315"/>
        <v>0</v>
      </c>
      <c r="CA278" s="108">
        <v>0</v>
      </c>
      <c r="CB278" s="108">
        <v>0</v>
      </c>
      <c r="CC278">
        <v>0</v>
      </c>
      <c r="CD278">
        <v>0</v>
      </c>
      <c r="CE278" s="189">
        <v>0</v>
      </c>
      <c r="CF278" s="189">
        <v>0</v>
      </c>
      <c r="CG278" s="189">
        <f t="shared" si="1268"/>
        <v>0</v>
      </c>
      <c r="CH278" s="189">
        <f t="shared" si="1269"/>
        <v>0</v>
      </c>
      <c r="CI278" s="150"/>
      <c r="CJ278" s="150"/>
      <c r="CK278" s="150"/>
      <c r="CL278" s="150"/>
      <c r="CM278" s="150"/>
      <c r="CN278" s="150"/>
      <c r="CO278" s="150"/>
      <c r="CP278" s="150"/>
      <c r="CQ278" s="150">
        <f t="shared" si="1270"/>
        <v>0</v>
      </c>
      <c r="CR278" s="150">
        <f t="shared" si="1271"/>
        <v>0</v>
      </c>
      <c r="CS278" s="150">
        <f t="shared" si="1272"/>
        <v>0</v>
      </c>
      <c r="CT278" s="150">
        <f t="shared" si="1273"/>
        <v>0</v>
      </c>
      <c r="CU278" s="150"/>
      <c r="CV278" s="150"/>
      <c r="CW278" s="150">
        <f t="shared" si="1276"/>
        <v>0</v>
      </c>
      <c r="CX278" s="150">
        <f t="shared" si="1290"/>
        <v>0</v>
      </c>
      <c r="CY278" s="150"/>
      <c r="CZ278" s="150"/>
      <c r="DA278" s="150">
        <f t="shared" si="1277"/>
        <v>0</v>
      </c>
      <c r="DB278" s="150">
        <f t="shared" si="1278"/>
        <v>0</v>
      </c>
      <c r="DC278" s="150"/>
      <c r="DD278" s="150"/>
      <c r="DE278" s="150">
        <f t="shared" si="1279"/>
        <v>0</v>
      </c>
      <c r="DF278" s="150">
        <f t="shared" si="1280"/>
        <v>0</v>
      </c>
      <c r="DG278" s="150">
        <f t="shared" si="1312"/>
        <v>0</v>
      </c>
      <c r="DH278" s="150">
        <f t="shared" si="1313"/>
        <v>0</v>
      </c>
      <c r="DI278" s="150">
        <f t="shared" si="1316"/>
        <v>0</v>
      </c>
      <c r="DJ278" s="150">
        <f t="shared" si="1317"/>
        <v>0</v>
      </c>
      <c r="DK278" s="104">
        <f t="shared" si="1157"/>
        <v>0</v>
      </c>
      <c r="DL278" s="104">
        <f t="shared" si="1158"/>
        <v>0</v>
      </c>
      <c r="DM278" s="104">
        <f t="shared" si="1246"/>
        <v>0</v>
      </c>
      <c r="DN278" s="104">
        <f t="shared" si="1247"/>
        <v>0</v>
      </c>
    </row>
    <row r="279" spans="1:126" ht="18.75">
      <c r="A279" s="13">
        <v>8</v>
      </c>
      <c r="B279" s="13"/>
      <c r="C279" s="14"/>
      <c r="D279" s="15" t="s">
        <v>453</v>
      </c>
      <c r="E279" s="16"/>
      <c r="F279" s="81">
        <v>0</v>
      </c>
      <c r="G279" s="81">
        <v>0</v>
      </c>
      <c r="H279" s="81">
        <v>0</v>
      </c>
      <c r="I279" s="17">
        <v>0</v>
      </c>
      <c r="J279" s="86"/>
      <c r="K279" s="87"/>
      <c r="L279" s="87"/>
      <c r="M279" s="87"/>
      <c r="N279" s="87"/>
      <c r="O279" s="87"/>
      <c r="P279" s="87"/>
      <c r="Q279" s="87"/>
      <c r="R279" s="87"/>
      <c r="S279" s="87"/>
      <c r="V279" s="17"/>
      <c r="W279" s="17">
        <f t="shared" si="1314"/>
        <v>0</v>
      </c>
      <c r="X279" s="108">
        <f t="shared" si="1203"/>
        <v>0</v>
      </c>
      <c r="Y279" s="108">
        <f t="shared" si="1204"/>
        <v>0</v>
      </c>
      <c r="Z279" s="108"/>
      <c r="AA279" s="108"/>
      <c r="AB279" s="108">
        <f t="shared" si="1205"/>
        <v>0</v>
      </c>
      <c r="AC279" s="109">
        <f t="shared" si="1206"/>
        <v>0</v>
      </c>
      <c r="AD279" s="108"/>
      <c r="AE279" s="108"/>
      <c r="AF279" s="108">
        <f t="shared" si="1209"/>
        <v>0</v>
      </c>
      <c r="AG279" s="108">
        <f t="shared" si="1210"/>
        <v>0</v>
      </c>
      <c r="AH279" s="108">
        <f t="shared" si="1211"/>
        <v>0</v>
      </c>
      <c r="AI279" s="127">
        <f t="shared" si="1212"/>
        <v>0</v>
      </c>
      <c r="AJ279" s="108">
        <f t="shared" si="1213"/>
        <v>0</v>
      </c>
      <c r="AM279" s="108">
        <f t="shared" si="1214"/>
        <v>0</v>
      </c>
      <c r="AN279" s="108">
        <f t="shared" si="1215"/>
        <v>0</v>
      </c>
      <c r="AQ279" s="108">
        <f t="shared" si="1216"/>
        <v>0</v>
      </c>
      <c r="AR279" s="108">
        <f t="shared" si="1217"/>
        <v>0</v>
      </c>
      <c r="AU279" s="108">
        <f t="shared" si="1054"/>
        <v>0</v>
      </c>
      <c r="AV279" s="108">
        <f t="shared" si="1289"/>
        <v>0</v>
      </c>
      <c r="AY279" s="108">
        <f t="shared" si="1218"/>
        <v>0</v>
      </c>
      <c r="AZ279" s="108">
        <f t="shared" si="1219"/>
        <v>0</v>
      </c>
      <c r="BA279" s="108">
        <f t="shared" si="1220"/>
        <v>0</v>
      </c>
      <c r="BD279" s="139">
        <f t="shared" si="1221"/>
        <v>0</v>
      </c>
      <c r="BE279" s="139">
        <f t="shared" si="1222"/>
        <v>0</v>
      </c>
      <c r="BF279" s="139">
        <f t="shared" si="1223"/>
        <v>0</v>
      </c>
      <c r="BG279" s="139">
        <f t="shared" si="1224"/>
        <v>0</v>
      </c>
      <c r="BH279" s="108">
        <v>0</v>
      </c>
      <c r="BI279" s="108">
        <v>0</v>
      </c>
      <c r="BL279" s="108">
        <f t="shared" si="1244"/>
        <v>0</v>
      </c>
      <c r="BM279" s="108">
        <f t="shared" si="1262"/>
        <v>0</v>
      </c>
      <c r="BN279" s="108">
        <f t="shared" si="1263"/>
        <v>0</v>
      </c>
      <c r="BP279" s="127"/>
      <c r="BQ279" s="108">
        <f t="shared" si="1264"/>
        <v>0</v>
      </c>
      <c r="BR279" s="108">
        <f t="shared" si="1265"/>
        <v>0</v>
      </c>
      <c r="BS279" s="108">
        <f t="shared" si="1266"/>
        <v>0</v>
      </c>
      <c r="BT279" s="108">
        <f t="shared" si="1267"/>
        <v>0</v>
      </c>
      <c r="BU279" s="108">
        <f t="shared" si="1297"/>
        <v>0</v>
      </c>
      <c r="BV279" s="108">
        <f t="shared" si="1315"/>
        <v>0</v>
      </c>
      <c r="CA279" s="108">
        <v>0</v>
      </c>
      <c r="CB279" s="108">
        <v>0</v>
      </c>
      <c r="CC279">
        <v>0</v>
      </c>
      <c r="CD279">
        <v>0</v>
      </c>
      <c r="CE279" s="189">
        <v>0</v>
      </c>
      <c r="CF279" s="189">
        <v>0</v>
      </c>
      <c r="CG279" s="189">
        <f t="shared" si="1268"/>
        <v>0</v>
      </c>
      <c r="CH279" s="189">
        <f t="shared" si="1269"/>
        <v>0</v>
      </c>
      <c r="CI279" s="150"/>
      <c r="CJ279" s="150"/>
      <c r="CK279" s="150"/>
      <c r="CL279" s="150"/>
      <c r="CM279" s="150"/>
      <c r="CN279" s="150"/>
      <c r="CO279" s="150"/>
      <c r="CP279" s="150"/>
      <c r="CQ279" s="150">
        <f t="shared" si="1270"/>
        <v>0</v>
      </c>
      <c r="CR279" s="150">
        <f t="shared" si="1271"/>
        <v>0</v>
      </c>
      <c r="CS279" s="150">
        <f t="shared" si="1272"/>
        <v>0</v>
      </c>
      <c r="CT279" s="150">
        <f t="shared" si="1273"/>
        <v>0</v>
      </c>
      <c r="CU279" s="150"/>
      <c r="CV279" s="150"/>
      <c r="CW279" s="150">
        <f t="shared" si="1276"/>
        <v>0</v>
      </c>
      <c r="CX279" s="150">
        <f t="shared" si="1290"/>
        <v>0</v>
      </c>
      <c r="CY279" s="150"/>
      <c r="CZ279" s="150"/>
      <c r="DA279" s="150">
        <f t="shared" si="1277"/>
        <v>0</v>
      </c>
      <c r="DB279" s="150">
        <f t="shared" si="1278"/>
        <v>0</v>
      </c>
      <c r="DC279" s="150"/>
      <c r="DD279" s="150"/>
      <c r="DE279" s="150">
        <f t="shared" si="1279"/>
        <v>0</v>
      </c>
      <c r="DF279" s="150">
        <f t="shared" si="1280"/>
        <v>0</v>
      </c>
      <c r="DG279" s="150">
        <f t="shared" si="1312"/>
        <v>0</v>
      </c>
      <c r="DH279" s="150">
        <f t="shared" si="1313"/>
        <v>0</v>
      </c>
      <c r="DI279" s="150">
        <f t="shared" si="1316"/>
        <v>0</v>
      </c>
      <c r="DJ279" s="150">
        <f t="shared" si="1317"/>
        <v>0</v>
      </c>
      <c r="DK279" s="104">
        <f t="shared" si="1157"/>
        <v>0</v>
      </c>
      <c r="DL279" s="104">
        <f t="shared" si="1158"/>
        <v>0</v>
      </c>
      <c r="DM279" s="104">
        <f t="shared" si="1246"/>
        <v>0</v>
      </c>
      <c r="DN279" s="104">
        <f t="shared" si="1247"/>
        <v>0</v>
      </c>
    </row>
    <row r="280" spans="1:126" ht="18.75">
      <c r="A280" s="13">
        <v>9</v>
      </c>
      <c r="B280" s="13"/>
      <c r="C280" s="14"/>
      <c r="D280" s="15" t="s">
        <v>454</v>
      </c>
      <c r="E280" s="16"/>
      <c r="F280" s="81">
        <v>0</v>
      </c>
      <c r="G280" s="81">
        <v>0</v>
      </c>
      <c r="H280" s="81">
        <v>0</v>
      </c>
      <c r="I280" s="17">
        <v>0</v>
      </c>
      <c r="J280" s="86"/>
      <c r="K280" s="87"/>
      <c r="L280" s="87"/>
      <c r="M280" s="87"/>
      <c r="N280" s="87"/>
      <c r="O280" s="87"/>
      <c r="P280" s="87"/>
      <c r="Q280" s="87"/>
      <c r="R280" s="87"/>
      <c r="S280" s="87"/>
      <c r="V280" s="17"/>
      <c r="W280" s="17">
        <f t="shared" si="1314"/>
        <v>0</v>
      </c>
      <c r="X280" s="108">
        <f t="shared" si="1203"/>
        <v>0</v>
      </c>
      <c r="Y280" s="108">
        <f t="shared" si="1204"/>
        <v>0</v>
      </c>
      <c r="Z280" s="108"/>
      <c r="AA280" s="108"/>
      <c r="AB280" s="108">
        <f t="shared" si="1205"/>
        <v>0</v>
      </c>
      <c r="AC280" s="109">
        <f t="shared" si="1206"/>
        <v>0</v>
      </c>
      <c r="AD280" s="108"/>
      <c r="AE280" s="108"/>
      <c r="AF280" s="108">
        <f t="shared" si="1209"/>
        <v>0</v>
      </c>
      <c r="AG280" s="108">
        <f t="shared" si="1210"/>
        <v>0</v>
      </c>
      <c r="AH280" s="108">
        <f t="shared" si="1211"/>
        <v>0</v>
      </c>
      <c r="AI280" s="127">
        <f t="shared" si="1212"/>
        <v>0</v>
      </c>
      <c r="AJ280" s="108">
        <f t="shared" si="1213"/>
        <v>0</v>
      </c>
      <c r="AM280" s="108">
        <f t="shared" si="1214"/>
        <v>0</v>
      </c>
      <c r="AN280" s="108">
        <f t="shared" si="1215"/>
        <v>0</v>
      </c>
      <c r="AQ280" s="108">
        <f t="shared" si="1216"/>
        <v>0</v>
      </c>
      <c r="AR280" s="108">
        <f t="shared" si="1217"/>
        <v>0</v>
      </c>
      <c r="AU280" s="108">
        <f t="shared" si="1054"/>
        <v>0</v>
      </c>
      <c r="AV280" s="108">
        <f t="shared" si="1289"/>
        <v>0</v>
      </c>
      <c r="AY280" s="108">
        <f t="shared" si="1218"/>
        <v>0</v>
      </c>
      <c r="AZ280" s="108">
        <f t="shared" si="1219"/>
        <v>0</v>
      </c>
      <c r="BA280" s="108">
        <f t="shared" si="1220"/>
        <v>0</v>
      </c>
      <c r="BD280" s="139">
        <f t="shared" si="1221"/>
        <v>0</v>
      </c>
      <c r="BE280" s="139">
        <f t="shared" si="1222"/>
        <v>0</v>
      </c>
      <c r="BF280" s="139">
        <f t="shared" si="1223"/>
        <v>0</v>
      </c>
      <c r="BG280" s="139">
        <f t="shared" si="1224"/>
        <v>0</v>
      </c>
      <c r="BH280" s="108">
        <v>0</v>
      </c>
      <c r="BI280" s="108">
        <v>0</v>
      </c>
      <c r="BL280" s="108">
        <f t="shared" si="1244"/>
        <v>0</v>
      </c>
      <c r="BM280" s="108">
        <f t="shared" si="1262"/>
        <v>0</v>
      </c>
      <c r="BN280" s="108">
        <f t="shared" si="1263"/>
        <v>0</v>
      </c>
      <c r="BP280" s="127"/>
      <c r="BQ280" s="108">
        <f t="shared" si="1264"/>
        <v>0</v>
      </c>
      <c r="BR280" s="108">
        <f t="shared" si="1265"/>
        <v>0</v>
      </c>
      <c r="BS280" s="108">
        <f t="shared" si="1266"/>
        <v>0</v>
      </c>
      <c r="BT280" s="108">
        <f t="shared" si="1267"/>
        <v>0</v>
      </c>
      <c r="BU280" s="108">
        <f t="shared" si="1297"/>
        <v>0</v>
      </c>
      <c r="BV280" s="108">
        <f t="shared" si="1315"/>
        <v>0</v>
      </c>
      <c r="CA280" s="108">
        <v>0</v>
      </c>
      <c r="CB280" s="108">
        <v>0</v>
      </c>
      <c r="CC280">
        <v>0</v>
      </c>
      <c r="CD280">
        <v>0</v>
      </c>
      <c r="CE280" s="189">
        <v>0</v>
      </c>
      <c r="CF280" s="189">
        <v>0</v>
      </c>
      <c r="CG280" s="189">
        <f t="shared" si="1268"/>
        <v>0</v>
      </c>
      <c r="CH280" s="189">
        <f t="shared" si="1269"/>
        <v>0</v>
      </c>
      <c r="CI280" s="150"/>
      <c r="CJ280" s="150"/>
      <c r="CK280" s="150"/>
      <c r="CL280" s="150"/>
      <c r="CM280" s="150"/>
      <c r="CN280" s="150"/>
      <c r="CO280" s="150"/>
      <c r="CP280" s="150"/>
      <c r="CQ280" s="150">
        <f t="shared" si="1270"/>
        <v>0</v>
      </c>
      <c r="CR280" s="150">
        <f t="shared" si="1271"/>
        <v>0</v>
      </c>
      <c r="CS280" s="150">
        <f t="shared" si="1272"/>
        <v>0</v>
      </c>
      <c r="CT280" s="150">
        <f t="shared" si="1273"/>
        <v>0</v>
      </c>
      <c r="CU280" s="150"/>
      <c r="CV280" s="150"/>
      <c r="CW280" s="150">
        <f t="shared" si="1276"/>
        <v>0</v>
      </c>
      <c r="CX280" s="150">
        <f t="shared" si="1290"/>
        <v>0</v>
      </c>
      <c r="CY280" s="150"/>
      <c r="CZ280" s="150"/>
      <c r="DA280" s="150">
        <f t="shared" si="1277"/>
        <v>0</v>
      </c>
      <c r="DB280" s="150">
        <f t="shared" si="1278"/>
        <v>0</v>
      </c>
      <c r="DC280" s="150"/>
      <c r="DD280" s="150"/>
      <c r="DE280" s="150">
        <f t="shared" si="1279"/>
        <v>0</v>
      </c>
      <c r="DF280" s="150">
        <f t="shared" si="1280"/>
        <v>0</v>
      </c>
      <c r="DG280" s="150">
        <f t="shared" si="1312"/>
        <v>0</v>
      </c>
      <c r="DH280" s="150">
        <f t="shared" si="1313"/>
        <v>0</v>
      </c>
      <c r="DI280" s="150">
        <f t="shared" si="1316"/>
        <v>0</v>
      </c>
      <c r="DJ280" s="150">
        <f t="shared" si="1317"/>
        <v>0</v>
      </c>
      <c r="DK280" s="104">
        <f t="shared" si="1157"/>
        <v>0</v>
      </c>
      <c r="DL280" s="104">
        <f t="shared" si="1158"/>
        <v>0</v>
      </c>
      <c r="DM280" s="104">
        <f t="shared" si="1246"/>
        <v>0</v>
      </c>
      <c r="DN280" s="104">
        <f t="shared" si="1247"/>
        <v>0</v>
      </c>
    </row>
    <row r="281" spans="1:126" ht="37.5">
      <c r="A281" s="13">
        <v>10</v>
      </c>
      <c r="B281" s="13"/>
      <c r="C281" s="14"/>
      <c r="D281" s="15" t="s">
        <v>455</v>
      </c>
      <c r="E281" s="16"/>
      <c r="F281" s="81">
        <v>0</v>
      </c>
      <c r="G281" s="81">
        <v>0</v>
      </c>
      <c r="H281" s="81">
        <v>0</v>
      </c>
      <c r="I281" s="17">
        <v>0</v>
      </c>
      <c r="J281" s="86"/>
      <c r="K281" s="87"/>
      <c r="L281" s="87"/>
      <c r="M281" s="87"/>
      <c r="N281" s="87"/>
      <c r="O281" s="87"/>
      <c r="P281" s="87"/>
      <c r="Q281" s="87"/>
      <c r="R281" s="87"/>
      <c r="S281" s="87"/>
      <c r="V281" s="17"/>
      <c r="W281" s="17">
        <f t="shared" si="1314"/>
        <v>0</v>
      </c>
      <c r="X281" s="108">
        <f t="shared" si="1203"/>
        <v>0</v>
      </c>
      <c r="Y281" s="108">
        <f t="shared" si="1204"/>
        <v>0</v>
      </c>
      <c r="Z281" s="108"/>
      <c r="AA281" s="108"/>
      <c r="AB281" s="108">
        <f t="shared" si="1205"/>
        <v>0</v>
      </c>
      <c r="AC281" s="109">
        <f t="shared" si="1206"/>
        <v>0</v>
      </c>
      <c r="AD281" s="108"/>
      <c r="AE281" s="108"/>
      <c r="AF281" s="108">
        <f t="shared" si="1209"/>
        <v>0</v>
      </c>
      <c r="AG281" s="108">
        <f t="shared" si="1210"/>
        <v>0</v>
      </c>
      <c r="AH281" s="108">
        <f t="shared" si="1211"/>
        <v>0</v>
      </c>
      <c r="AI281" s="127">
        <f t="shared" si="1212"/>
        <v>0</v>
      </c>
      <c r="AJ281" s="108">
        <f t="shared" si="1213"/>
        <v>0</v>
      </c>
      <c r="AM281" s="108">
        <f t="shared" si="1214"/>
        <v>0</v>
      </c>
      <c r="AN281" s="108">
        <f t="shared" si="1215"/>
        <v>0</v>
      </c>
      <c r="AQ281" s="108">
        <f t="shared" si="1216"/>
        <v>0</v>
      </c>
      <c r="AR281" s="108">
        <f t="shared" si="1217"/>
        <v>0</v>
      </c>
      <c r="AU281" s="108">
        <f t="shared" si="1054"/>
        <v>0</v>
      </c>
      <c r="AV281" s="108">
        <f t="shared" si="1289"/>
        <v>0</v>
      </c>
      <c r="AY281" s="108">
        <f t="shared" si="1218"/>
        <v>0</v>
      </c>
      <c r="AZ281" s="108">
        <f t="shared" si="1219"/>
        <v>0</v>
      </c>
      <c r="BA281" s="108">
        <f t="shared" si="1220"/>
        <v>0</v>
      </c>
      <c r="BD281" s="139">
        <f t="shared" si="1221"/>
        <v>0</v>
      </c>
      <c r="BE281" s="139">
        <f t="shared" si="1222"/>
        <v>0</v>
      </c>
      <c r="BF281" s="139">
        <f t="shared" si="1223"/>
        <v>0</v>
      </c>
      <c r="BG281" s="139">
        <f t="shared" si="1224"/>
        <v>0</v>
      </c>
      <c r="BH281" s="108">
        <v>0</v>
      </c>
      <c r="BI281" s="108">
        <v>0</v>
      </c>
      <c r="BL281" s="108">
        <f t="shared" si="1244"/>
        <v>0</v>
      </c>
      <c r="BM281" s="108">
        <f t="shared" si="1262"/>
        <v>0</v>
      </c>
      <c r="BN281" s="108">
        <f t="shared" si="1263"/>
        <v>0</v>
      </c>
      <c r="BP281" s="127"/>
      <c r="BQ281" s="108">
        <f t="shared" si="1264"/>
        <v>0</v>
      </c>
      <c r="BR281" s="108">
        <f t="shared" si="1265"/>
        <v>0</v>
      </c>
      <c r="BS281" s="108">
        <f t="shared" si="1266"/>
        <v>0</v>
      </c>
      <c r="BT281" s="108">
        <f t="shared" si="1267"/>
        <v>0</v>
      </c>
      <c r="BU281" s="108">
        <f t="shared" si="1297"/>
        <v>0</v>
      </c>
      <c r="BV281" s="108">
        <f t="shared" si="1315"/>
        <v>0</v>
      </c>
      <c r="CA281" s="108">
        <v>0</v>
      </c>
      <c r="CB281" s="108">
        <v>0</v>
      </c>
      <c r="CC281">
        <v>0</v>
      </c>
      <c r="CD281">
        <v>0</v>
      </c>
      <c r="CE281" s="189">
        <v>0</v>
      </c>
      <c r="CF281" s="189">
        <v>0</v>
      </c>
      <c r="CG281" s="189">
        <f t="shared" si="1268"/>
        <v>0</v>
      </c>
      <c r="CH281" s="189">
        <f t="shared" si="1269"/>
        <v>0</v>
      </c>
      <c r="CI281" s="150"/>
      <c r="CJ281" s="150"/>
      <c r="CK281" s="150"/>
      <c r="CL281" s="150"/>
      <c r="CM281" s="150"/>
      <c r="CN281" s="150"/>
      <c r="CO281" s="150"/>
      <c r="CP281" s="150"/>
      <c r="CQ281" s="150">
        <f t="shared" si="1270"/>
        <v>0</v>
      </c>
      <c r="CR281" s="150">
        <f t="shared" si="1271"/>
        <v>0</v>
      </c>
      <c r="CS281" s="150">
        <f t="shared" si="1272"/>
        <v>0</v>
      </c>
      <c r="CT281" s="150">
        <f t="shared" si="1273"/>
        <v>0</v>
      </c>
      <c r="CU281" s="150"/>
      <c r="CV281" s="150"/>
      <c r="CW281" s="150">
        <f t="shared" si="1276"/>
        <v>0</v>
      </c>
      <c r="CX281" s="150">
        <f t="shared" si="1290"/>
        <v>0</v>
      </c>
      <c r="CY281" s="150"/>
      <c r="CZ281" s="150"/>
      <c r="DA281" s="150">
        <f t="shared" si="1277"/>
        <v>0</v>
      </c>
      <c r="DB281" s="150">
        <f t="shared" si="1278"/>
        <v>0</v>
      </c>
      <c r="DC281" s="150"/>
      <c r="DD281" s="150"/>
      <c r="DE281" s="150">
        <f t="shared" si="1279"/>
        <v>0</v>
      </c>
      <c r="DF281" s="150">
        <f t="shared" si="1280"/>
        <v>0</v>
      </c>
      <c r="DG281" s="150">
        <f t="shared" si="1312"/>
        <v>0</v>
      </c>
      <c r="DH281" s="150">
        <f t="shared" si="1313"/>
        <v>0</v>
      </c>
      <c r="DI281" s="150">
        <f t="shared" si="1316"/>
        <v>0</v>
      </c>
      <c r="DJ281" s="150">
        <f t="shared" si="1317"/>
        <v>0</v>
      </c>
      <c r="DK281" s="104">
        <f t="shared" si="1157"/>
        <v>0</v>
      </c>
      <c r="DL281" s="104">
        <f t="shared" si="1158"/>
        <v>0</v>
      </c>
      <c r="DM281" s="104">
        <f t="shared" si="1246"/>
        <v>0</v>
      </c>
      <c r="DN281" s="104">
        <f t="shared" si="1247"/>
        <v>0</v>
      </c>
    </row>
    <row r="282" spans="1:126" ht="18.75">
      <c r="A282" s="13">
        <v>11</v>
      </c>
      <c r="B282" s="13"/>
      <c r="C282" s="14"/>
      <c r="D282" s="15" t="s">
        <v>456</v>
      </c>
      <c r="E282" s="16"/>
      <c r="F282" s="81">
        <v>0</v>
      </c>
      <c r="G282" s="81">
        <v>0</v>
      </c>
      <c r="H282" s="81">
        <v>0</v>
      </c>
      <c r="I282" s="17">
        <v>0</v>
      </c>
      <c r="J282" s="86"/>
      <c r="K282" s="87"/>
      <c r="L282" s="87"/>
      <c r="M282" s="87"/>
      <c r="N282" s="87"/>
      <c r="O282" s="87"/>
      <c r="P282" s="87"/>
      <c r="Q282" s="87"/>
      <c r="R282" s="87"/>
      <c r="S282" s="87"/>
      <c r="V282" s="17"/>
      <c r="W282" s="17">
        <f t="shared" si="1314"/>
        <v>0</v>
      </c>
      <c r="X282" s="108">
        <f t="shared" si="1203"/>
        <v>0</v>
      </c>
      <c r="Y282" s="108">
        <f t="shared" si="1204"/>
        <v>0</v>
      </c>
      <c r="Z282" s="108"/>
      <c r="AA282" s="108"/>
      <c r="AB282" s="108">
        <f t="shared" si="1205"/>
        <v>0</v>
      </c>
      <c r="AC282" s="109">
        <f t="shared" si="1206"/>
        <v>0</v>
      </c>
      <c r="AD282" s="108"/>
      <c r="AE282" s="108"/>
      <c r="AF282" s="108">
        <f t="shared" si="1209"/>
        <v>0</v>
      </c>
      <c r="AG282" s="108">
        <f t="shared" si="1210"/>
        <v>0</v>
      </c>
      <c r="AH282" s="108">
        <f t="shared" si="1211"/>
        <v>0</v>
      </c>
      <c r="AI282" s="127">
        <f t="shared" si="1212"/>
        <v>0</v>
      </c>
      <c r="AJ282" s="108">
        <f t="shared" si="1213"/>
        <v>0</v>
      </c>
      <c r="AM282" s="108">
        <f t="shared" si="1214"/>
        <v>0</v>
      </c>
      <c r="AN282" s="108">
        <f t="shared" si="1215"/>
        <v>0</v>
      </c>
      <c r="AQ282" s="108">
        <f t="shared" si="1216"/>
        <v>0</v>
      </c>
      <c r="AR282" s="108">
        <f t="shared" si="1217"/>
        <v>0</v>
      </c>
      <c r="AU282" s="108">
        <f t="shared" si="1054"/>
        <v>0</v>
      </c>
      <c r="AV282" s="108">
        <f t="shared" si="1289"/>
        <v>0</v>
      </c>
      <c r="AY282" s="108">
        <f t="shared" si="1218"/>
        <v>0</v>
      </c>
      <c r="AZ282" s="108">
        <f t="shared" si="1219"/>
        <v>0</v>
      </c>
      <c r="BA282" s="108">
        <f t="shared" si="1220"/>
        <v>0</v>
      </c>
      <c r="BD282" s="139">
        <f t="shared" si="1221"/>
        <v>0</v>
      </c>
      <c r="BE282" s="139">
        <f t="shared" si="1222"/>
        <v>0</v>
      </c>
      <c r="BF282" s="139">
        <f t="shared" si="1223"/>
        <v>0</v>
      </c>
      <c r="BG282" s="139">
        <f t="shared" si="1224"/>
        <v>0</v>
      </c>
      <c r="BH282" s="108">
        <v>0</v>
      </c>
      <c r="BI282" s="108">
        <v>0</v>
      </c>
      <c r="BL282" s="108">
        <f t="shared" si="1244"/>
        <v>0</v>
      </c>
      <c r="BM282" s="108">
        <f t="shared" si="1262"/>
        <v>0</v>
      </c>
      <c r="BN282" s="108">
        <f t="shared" si="1263"/>
        <v>0</v>
      </c>
      <c r="BP282" s="127"/>
      <c r="BQ282" s="108">
        <f t="shared" si="1264"/>
        <v>0</v>
      </c>
      <c r="BR282" s="108">
        <f t="shared" si="1265"/>
        <v>0</v>
      </c>
      <c r="BS282" s="108">
        <f t="shared" si="1266"/>
        <v>0</v>
      </c>
      <c r="BT282" s="108">
        <f t="shared" si="1267"/>
        <v>0</v>
      </c>
      <c r="BU282" s="108">
        <f t="shared" si="1297"/>
        <v>0</v>
      </c>
      <c r="BV282" s="108">
        <f t="shared" si="1315"/>
        <v>0</v>
      </c>
      <c r="CA282" s="108">
        <v>0</v>
      </c>
      <c r="CB282" s="108">
        <v>0</v>
      </c>
      <c r="CC282">
        <v>0</v>
      </c>
      <c r="CD282">
        <v>0</v>
      </c>
      <c r="CE282" s="189">
        <v>0</v>
      </c>
      <c r="CF282" s="189">
        <v>0</v>
      </c>
      <c r="CG282" s="189">
        <f t="shared" si="1268"/>
        <v>0</v>
      </c>
      <c r="CH282" s="189">
        <f t="shared" si="1269"/>
        <v>0</v>
      </c>
      <c r="CI282" s="150"/>
      <c r="CJ282" s="150"/>
      <c r="CK282" s="150"/>
      <c r="CL282" s="150"/>
      <c r="CM282" s="150"/>
      <c r="CN282" s="150"/>
      <c r="CO282" s="150"/>
      <c r="CP282" s="150"/>
      <c r="CQ282" s="150">
        <f t="shared" si="1270"/>
        <v>0</v>
      </c>
      <c r="CR282" s="150">
        <f t="shared" si="1271"/>
        <v>0</v>
      </c>
      <c r="CS282" s="150">
        <f t="shared" si="1272"/>
        <v>0</v>
      </c>
      <c r="CT282" s="150">
        <f t="shared" si="1273"/>
        <v>0</v>
      </c>
      <c r="CU282" s="150"/>
      <c r="CV282" s="150"/>
      <c r="CW282" s="150">
        <f t="shared" si="1276"/>
        <v>0</v>
      </c>
      <c r="CX282" s="150">
        <f t="shared" si="1290"/>
        <v>0</v>
      </c>
      <c r="CY282" s="150"/>
      <c r="CZ282" s="150"/>
      <c r="DA282" s="150">
        <f t="shared" si="1277"/>
        <v>0</v>
      </c>
      <c r="DB282" s="150">
        <f t="shared" si="1278"/>
        <v>0</v>
      </c>
      <c r="DC282" s="150"/>
      <c r="DD282" s="150"/>
      <c r="DE282" s="150">
        <f t="shared" si="1279"/>
        <v>0</v>
      </c>
      <c r="DF282" s="150">
        <f t="shared" si="1280"/>
        <v>0</v>
      </c>
      <c r="DG282" s="150">
        <f t="shared" si="1312"/>
        <v>0</v>
      </c>
      <c r="DH282" s="150">
        <f t="shared" si="1313"/>
        <v>0</v>
      </c>
      <c r="DI282" s="150">
        <f t="shared" si="1316"/>
        <v>0</v>
      </c>
      <c r="DJ282" s="150">
        <f t="shared" si="1317"/>
        <v>0</v>
      </c>
      <c r="DK282" s="104">
        <f t="shared" si="1157"/>
        <v>0</v>
      </c>
      <c r="DL282" s="104">
        <f t="shared" si="1158"/>
        <v>0</v>
      </c>
      <c r="DM282" s="104">
        <f t="shared" si="1246"/>
        <v>0</v>
      </c>
      <c r="DN282" s="104">
        <f t="shared" si="1247"/>
        <v>0</v>
      </c>
    </row>
    <row r="283" spans="1:126" ht="18.75">
      <c r="A283" s="13"/>
      <c r="B283" s="13"/>
      <c r="C283" s="14"/>
      <c r="D283" s="15" t="s">
        <v>457</v>
      </c>
      <c r="E283" s="16"/>
      <c r="F283" s="81">
        <v>0</v>
      </c>
      <c r="G283" s="81">
        <v>0</v>
      </c>
      <c r="H283" s="81">
        <v>0</v>
      </c>
      <c r="I283" s="17">
        <v>0</v>
      </c>
      <c r="J283" s="86"/>
      <c r="K283" s="87"/>
      <c r="L283" s="87"/>
      <c r="M283" s="87"/>
      <c r="N283" s="87"/>
      <c r="O283" s="87"/>
      <c r="P283" s="87"/>
      <c r="Q283" s="87"/>
      <c r="R283" s="87"/>
      <c r="S283" s="87"/>
      <c r="V283" s="17"/>
      <c r="W283" s="17">
        <f t="shared" si="1314"/>
        <v>0</v>
      </c>
      <c r="X283" s="108">
        <f t="shared" si="1203"/>
        <v>0</v>
      </c>
      <c r="Y283" s="108">
        <f t="shared" si="1204"/>
        <v>0</v>
      </c>
      <c r="Z283" s="108"/>
      <c r="AA283" s="108"/>
      <c r="AB283" s="108">
        <f t="shared" si="1205"/>
        <v>0</v>
      </c>
      <c r="AC283" s="109">
        <f t="shared" si="1206"/>
        <v>0</v>
      </c>
      <c r="AD283" s="108"/>
      <c r="AE283" s="108"/>
      <c r="AF283" s="108">
        <f t="shared" si="1209"/>
        <v>0</v>
      </c>
      <c r="AG283" s="108">
        <f t="shared" si="1210"/>
        <v>0</v>
      </c>
      <c r="AH283" s="108">
        <f t="shared" si="1211"/>
        <v>0</v>
      </c>
      <c r="AI283" s="127">
        <f t="shared" si="1212"/>
        <v>0</v>
      </c>
      <c r="AJ283" s="108">
        <f t="shared" si="1213"/>
        <v>0</v>
      </c>
      <c r="AM283" s="108">
        <f t="shared" si="1214"/>
        <v>0</v>
      </c>
      <c r="AN283" s="108">
        <f t="shared" si="1215"/>
        <v>0</v>
      </c>
      <c r="AQ283" s="108">
        <f t="shared" si="1216"/>
        <v>0</v>
      </c>
      <c r="AR283" s="108">
        <f t="shared" si="1217"/>
        <v>0</v>
      </c>
      <c r="AU283" s="108">
        <f t="shared" ref="AU283:AU285" si="1318">ROUND(AD283*25%,2)</f>
        <v>0</v>
      </c>
      <c r="AV283" s="108">
        <f t="shared" si="1289"/>
        <v>0</v>
      </c>
      <c r="AY283" s="108">
        <f t="shared" si="1218"/>
        <v>0</v>
      </c>
      <c r="AZ283" s="108">
        <f t="shared" si="1219"/>
        <v>0</v>
      </c>
      <c r="BA283" s="108">
        <f t="shared" si="1220"/>
        <v>0</v>
      </c>
      <c r="BD283" s="139">
        <f t="shared" si="1221"/>
        <v>0</v>
      </c>
      <c r="BE283" s="139">
        <f t="shared" si="1222"/>
        <v>0</v>
      </c>
      <c r="BF283" s="139">
        <f t="shared" si="1223"/>
        <v>0</v>
      </c>
      <c r="BG283" s="139">
        <f t="shared" si="1224"/>
        <v>0</v>
      </c>
      <c r="BH283" s="108">
        <v>0</v>
      </c>
      <c r="BI283" s="108">
        <v>0</v>
      </c>
      <c r="BL283" s="108">
        <f t="shared" si="1244"/>
        <v>0</v>
      </c>
      <c r="BM283" s="108">
        <f t="shared" si="1262"/>
        <v>0</v>
      </c>
      <c r="BN283" s="108">
        <f t="shared" si="1263"/>
        <v>0</v>
      </c>
      <c r="BP283" s="127"/>
      <c r="BQ283" s="108">
        <f t="shared" si="1264"/>
        <v>0</v>
      </c>
      <c r="BR283" s="108">
        <f t="shared" si="1265"/>
        <v>0</v>
      </c>
      <c r="BS283" s="108">
        <f t="shared" si="1266"/>
        <v>0</v>
      </c>
      <c r="BT283" s="108">
        <f t="shared" si="1267"/>
        <v>0</v>
      </c>
      <c r="BU283" s="108">
        <f t="shared" si="1297"/>
        <v>0</v>
      </c>
      <c r="BV283" s="108">
        <f t="shared" si="1315"/>
        <v>0</v>
      </c>
      <c r="CA283" s="108">
        <v>0</v>
      </c>
      <c r="CB283" s="108">
        <v>0</v>
      </c>
      <c r="CC283">
        <v>0</v>
      </c>
      <c r="CD283">
        <v>0</v>
      </c>
      <c r="CE283" s="189">
        <v>0</v>
      </c>
      <c r="CF283" s="189">
        <v>0</v>
      </c>
      <c r="CG283" s="189">
        <f t="shared" si="1268"/>
        <v>0</v>
      </c>
      <c r="CH283" s="189">
        <f t="shared" si="1269"/>
        <v>0</v>
      </c>
      <c r="CI283" s="150"/>
      <c r="CJ283" s="150"/>
      <c r="CK283" s="150"/>
      <c r="CL283" s="150"/>
      <c r="CM283" s="150"/>
      <c r="CN283" s="150"/>
      <c r="CO283" s="150"/>
      <c r="CP283" s="150"/>
      <c r="CQ283" s="150">
        <f t="shared" si="1270"/>
        <v>0</v>
      </c>
      <c r="CR283" s="150">
        <f t="shared" si="1271"/>
        <v>0</v>
      </c>
      <c r="CS283" s="150">
        <f t="shared" si="1272"/>
        <v>0</v>
      </c>
      <c r="CT283" s="150">
        <f t="shared" si="1273"/>
        <v>0</v>
      </c>
      <c r="CU283" s="150"/>
      <c r="CV283" s="150"/>
      <c r="CW283" s="150">
        <f t="shared" si="1276"/>
        <v>0</v>
      </c>
      <c r="CX283" s="150">
        <f t="shared" si="1290"/>
        <v>0</v>
      </c>
      <c r="CY283" s="150"/>
      <c r="CZ283" s="150"/>
      <c r="DA283" s="150">
        <f t="shared" si="1277"/>
        <v>0</v>
      </c>
      <c r="DB283" s="150">
        <f t="shared" si="1278"/>
        <v>0</v>
      </c>
      <c r="DC283" s="150"/>
      <c r="DD283" s="150"/>
      <c r="DE283" s="150">
        <f t="shared" si="1279"/>
        <v>0</v>
      </c>
      <c r="DF283" s="150">
        <f t="shared" si="1280"/>
        <v>0</v>
      </c>
      <c r="DG283" s="150">
        <f t="shared" si="1312"/>
        <v>0</v>
      </c>
      <c r="DH283" s="150">
        <f t="shared" si="1313"/>
        <v>0</v>
      </c>
      <c r="DI283" s="150">
        <f t="shared" si="1316"/>
        <v>0</v>
      </c>
      <c r="DJ283" s="150">
        <f t="shared" si="1317"/>
        <v>0</v>
      </c>
      <c r="DK283" s="104">
        <f t="shared" si="1157"/>
        <v>0</v>
      </c>
      <c r="DL283" s="104">
        <f t="shared" si="1158"/>
        <v>0</v>
      </c>
      <c r="DM283" s="104">
        <f t="shared" si="1246"/>
        <v>0</v>
      </c>
      <c r="DN283" s="104">
        <f t="shared" si="1247"/>
        <v>0</v>
      </c>
    </row>
    <row r="284" spans="1:126" ht="18.75">
      <c r="A284" s="13"/>
      <c r="B284" s="13"/>
      <c r="C284" s="14"/>
      <c r="D284" s="15" t="s">
        <v>458</v>
      </c>
      <c r="E284" s="16"/>
      <c r="F284" s="81">
        <v>0</v>
      </c>
      <c r="G284" s="81">
        <v>0</v>
      </c>
      <c r="H284" s="81">
        <v>0</v>
      </c>
      <c r="I284" s="17">
        <v>0</v>
      </c>
      <c r="J284" s="86"/>
      <c r="K284" s="87"/>
      <c r="L284" s="87"/>
      <c r="M284" s="87"/>
      <c r="N284" s="87"/>
      <c r="O284" s="87"/>
      <c r="P284" s="87"/>
      <c r="Q284" s="87"/>
      <c r="R284" s="87"/>
      <c r="S284" s="87"/>
      <c r="V284" s="17"/>
      <c r="W284" s="17">
        <f t="shared" si="1314"/>
        <v>0</v>
      </c>
      <c r="X284" s="108">
        <f t="shared" si="1203"/>
        <v>0</v>
      </c>
      <c r="Y284" s="108">
        <f t="shared" si="1204"/>
        <v>0</v>
      </c>
      <c r="Z284" s="108"/>
      <c r="AA284" s="108"/>
      <c r="AB284" s="108">
        <f t="shared" si="1205"/>
        <v>0</v>
      </c>
      <c r="AC284" s="109">
        <f t="shared" si="1206"/>
        <v>0</v>
      </c>
      <c r="AD284" s="108"/>
      <c r="AE284" s="108"/>
      <c r="AF284" s="108">
        <f t="shared" si="1209"/>
        <v>0</v>
      </c>
      <c r="AG284" s="108">
        <f t="shared" si="1210"/>
        <v>0</v>
      </c>
      <c r="AH284" s="108">
        <f t="shared" si="1211"/>
        <v>0</v>
      </c>
      <c r="AI284" s="127">
        <f t="shared" si="1212"/>
        <v>0</v>
      </c>
      <c r="AJ284" s="108">
        <f t="shared" si="1213"/>
        <v>0</v>
      </c>
      <c r="AM284" s="108">
        <f t="shared" si="1214"/>
        <v>0</v>
      </c>
      <c r="AN284" s="108">
        <f t="shared" si="1215"/>
        <v>0</v>
      </c>
      <c r="AQ284" s="108">
        <f t="shared" si="1216"/>
        <v>0</v>
      </c>
      <c r="AR284" s="108">
        <f t="shared" si="1217"/>
        <v>0</v>
      </c>
      <c r="AU284" s="108">
        <f t="shared" si="1318"/>
        <v>0</v>
      </c>
      <c r="AV284" s="108">
        <f t="shared" si="1289"/>
        <v>0</v>
      </c>
      <c r="AY284" s="108">
        <f t="shared" si="1218"/>
        <v>0</v>
      </c>
      <c r="AZ284" s="108">
        <f t="shared" si="1219"/>
        <v>0</v>
      </c>
      <c r="BA284" s="108">
        <f t="shared" si="1220"/>
        <v>0</v>
      </c>
      <c r="BD284" s="139">
        <f t="shared" si="1221"/>
        <v>0</v>
      </c>
      <c r="BE284" s="139">
        <f t="shared" si="1222"/>
        <v>0</v>
      </c>
      <c r="BF284" s="139">
        <f t="shared" si="1223"/>
        <v>0</v>
      </c>
      <c r="BG284" s="139">
        <f t="shared" si="1224"/>
        <v>0</v>
      </c>
      <c r="BH284" s="108">
        <v>0</v>
      </c>
      <c r="BI284" s="108">
        <v>0</v>
      </c>
      <c r="BL284" s="108">
        <f t="shared" si="1244"/>
        <v>0</v>
      </c>
      <c r="BM284" s="108">
        <f t="shared" si="1262"/>
        <v>0</v>
      </c>
      <c r="BN284" s="108">
        <f t="shared" si="1263"/>
        <v>0</v>
      </c>
      <c r="BP284" s="127"/>
      <c r="BQ284" s="108">
        <f t="shared" si="1264"/>
        <v>0</v>
      </c>
      <c r="BR284" s="108">
        <f t="shared" si="1265"/>
        <v>0</v>
      </c>
      <c r="BS284" s="108">
        <f t="shared" si="1266"/>
        <v>0</v>
      </c>
      <c r="BT284" s="108">
        <f t="shared" si="1267"/>
        <v>0</v>
      </c>
      <c r="BU284" s="108">
        <f t="shared" si="1297"/>
        <v>0</v>
      </c>
      <c r="BV284" s="108">
        <f t="shared" si="1315"/>
        <v>0</v>
      </c>
      <c r="CA284" s="108">
        <v>0</v>
      </c>
      <c r="CB284" s="108">
        <v>0</v>
      </c>
      <c r="CC284">
        <v>0</v>
      </c>
      <c r="CD284">
        <v>0</v>
      </c>
      <c r="CE284" s="189">
        <v>0</v>
      </c>
      <c r="CF284" s="189">
        <v>0</v>
      </c>
      <c r="CG284" s="189">
        <f t="shared" si="1268"/>
        <v>0</v>
      </c>
      <c r="CH284" s="189">
        <f t="shared" si="1269"/>
        <v>0</v>
      </c>
      <c r="CI284" s="150"/>
      <c r="CJ284" s="150"/>
      <c r="CK284" s="150"/>
      <c r="CL284" s="150"/>
      <c r="CM284" s="150"/>
      <c r="CN284" s="150"/>
      <c r="CO284" s="150"/>
      <c r="CP284" s="150"/>
      <c r="CQ284" s="150">
        <f t="shared" si="1270"/>
        <v>0</v>
      </c>
      <c r="CR284" s="150">
        <f t="shared" si="1271"/>
        <v>0</v>
      </c>
      <c r="CS284" s="150">
        <f t="shared" si="1272"/>
        <v>0</v>
      </c>
      <c r="CT284" s="150">
        <f t="shared" si="1273"/>
        <v>0</v>
      </c>
      <c r="CU284" s="150"/>
      <c r="CV284" s="150"/>
      <c r="CW284" s="150">
        <f t="shared" si="1276"/>
        <v>0</v>
      </c>
      <c r="CX284" s="150">
        <f t="shared" si="1290"/>
        <v>0</v>
      </c>
      <c r="CY284" s="150"/>
      <c r="CZ284" s="150"/>
      <c r="DA284" s="150">
        <f t="shared" si="1277"/>
        <v>0</v>
      </c>
      <c r="DB284" s="150">
        <f t="shared" si="1278"/>
        <v>0</v>
      </c>
      <c r="DC284" s="150"/>
      <c r="DD284" s="150"/>
      <c r="DE284" s="150">
        <f t="shared" si="1279"/>
        <v>0</v>
      </c>
      <c r="DF284" s="150">
        <f t="shared" si="1280"/>
        <v>0</v>
      </c>
      <c r="DG284" s="150">
        <f t="shared" si="1312"/>
        <v>0</v>
      </c>
      <c r="DH284" s="150">
        <f t="shared" si="1313"/>
        <v>0</v>
      </c>
      <c r="DI284" s="150">
        <f t="shared" si="1316"/>
        <v>0</v>
      </c>
      <c r="DJ284" s="150">
        <f t="shared" si="1317"/>
        <v>0</v>
      </c>
      <c r="DK284" s="104">
        <f t="shared" si="1157"/>
        <v>0</v>
      </c>
      <c r="DL284" s="104">
        <f t="shared" si="1158"/>
        <v>0</v>
      </c>
      <c r="DM284" s="104">
        <f t="shared" si="1246"/>
        <v>0</v>
      </c>
      <c r="DN284" s="104">
        <f t="shared" si="1247"/>
        <v>0</v>
      </c>
    </row>
    <row r="285" spans="1:126" ht="18.75">
      <c r="A285" s="13"/>
      <c r="B285" s="13"/>
      <c r="C285" s="14"/>
      <c r="D285" s="15" t="s">
        <v>459</v>
      </c>
      <c r="E285" s="16"/>
      <c r="F285" s="81">
        <v>0</v>
      </c>
      <c r="G285" s="81">
        <v>0</v>
      </c>
      <c r="H285" s="81">
        <v>0</v>
      </c>
      <c r="I285" s="17">
        <v>0</v>
      </c>
      <c r="J285" s="86"/>
      <c r="K285" s="87"/>
      <c r="L285" s="87"/>
      <c r="M285" s="87"/>
      <c r="N285" s="87"/>
      <c r="O285" s="87"/>
      <c r="P285" s="87"/>
      <c r="Q285" s="87"/>
      <c r="R285" s="87"/>
      <c r="S285" s="87"/>
      <c r="V285" s="17"/>
      <c r="W285" s="17">
        <f t="shared" si="1314"/>
        <v>0</v>
      </c>
      <c r="X285" s="108">
        <f t="shared" si="1203"/>
        <v>0</v>
      </c>
      <c r="Y285" s="108">
        <f t="shared" si="1204"/>
        <v>0</v>
      </c>
      <c r="Z285" s="108"/>
      <c r="AA285" s="108"/>
      <c r="AB285" s="108">
        <f t="shared" si="1205"/>
        <v>0</v>
      </c>
      <c r="AC285" s="109">
        <f t="shared" si="1206"/>
        <v>0</v>
      </c>
      <c r="AD285" s="108"/>
      <c r="AE285" s="108"/>
      <c r="AF285" s="108">
        <f t="shared" si="1209"/>
        <v>0</v>
      </c>
      <c r="AG285" s="108">
        <f t="shared" si="1210"/>
        <v>0</v>
      </c>
      <c r="AH285" s="108">
        <f t="shared" si="1211"/>
        <v>0</v>
      </c>
      <c r="AI285" s="127">
        <f t="shared" si="1212"/>
        <v>0</v>
      </c>
      <c r="AJ285" s="108">
        <f t="shared" si="1213"/>
        <v>0</v>
      </c>
      <c r="AM285" s="108">
        <f t="shared" si="1214"/>
        <v>0</v>
      </c>
      <c r="AN285" s="108">
        <f t="shared" si="1215"/>
        <v>0</v>
      </c>
      <c r="AQ285" s="108">
        <f t="shared" si="1216"/>
        <v>0</v>
      </c>
      <c r="AR285" s="108">
        <f t="shared" si="1217"/>
        <v>0</v>
      </c>
      <c r="AU285" s="108">
        <f t="shared" si="1318"/>
        <v>0</v>
      </c>
      <c r="AV285" s="108">
        <f t="shared" si="1289"/>
        <v>0</v>
      </c>
      <c r="AY285" s="108">
        <f t="shared" si="1218"/>
        <v>0</v>
      </c>
      <c r="AZ285" s="108">
        <f t="shared" si="1219"/>
        <v>0</v>
      </c>
      <c r="BA285" s="108">
        <f t="shared" si="1220"/>
        <v>0</v>
      </c>
      <c r="BD285" s="139">
        <f t="shared" si="1221"/>
        <v>0</v>
      </c>
      <c r="BE285" s="139">
        <f t="shared" si="1222"/>
        <v>0</v>
      </c>
      <c r="BF285" s="139">
        <f t="shared" si="1223"/>
        <v>0</v>
      </c>
      <c r="BG285" s="139">
        <f t="shared" si="1224"/>
        <v>0</v>
      </c>
      <c r="BH285" s="108">
        <v>0</v>
      </c>
      <c r="BI285" s="108">
        <v>0</v>
      </c>
      <c r="BL285" s="108">
        <f t="shared" si="1244"/>
        <v>0</v>
      </c>
      <c r="BM285" s="108">
        <f t="shared" si="1262"/>
        <v>0</v>
      </c>
      <c r="BN285" s="108">
        <f t="shared" si="1263"/>
        <v>0</v>
      </c>
      <c r="BP285" s="127"/>
      <c r="BQ285" s="108">
        <f t="shared" si="1264"/>
        <v>0</v>
      </c>
      <c r="BR285" s="108">
        <f t="shared" si="1265"/>
        <v>0</v>
      </c>
      <c r="BS285" s="108">
        <f t="shared" si="1266"/>
        <v>0</v>
      </c>
      <c r="BT285" s="108">
        <f t="shared" si="1267"/>
        <v>0</v>
      </c>
      <c r="BU285" s="108">
        <f t="shared" si="1297"/>
        <v>0</v>
      </c>
      <c r="BV285" s="108">
        <f t="shared" si="1315"/>
        <v>0</v>
      </c>
      <c r="CA285" s="108">
        <v>0</v>
      </c>
      <c r="CB285" s="108">
        <v>0</v>
      </c>
      <c r="CC285">
        <v>0</v>
      </c>
      <c r="CD285">
        <v>0</v>
      </c>
      <c r="CE285" s="189">
        <v>0</v>
      </c>
      <c r="CF285" s="189">
        <v>0</v>
      </c>
      <c r="CG285" s="189">
        <f t="shared" si="1268"/>
        <v>0</v>
      </c>
      <c r="CH285" s="189">
        <f t="shared" si="1269"/>
        <v>0</v>
      </c>
      <c r="CI285" s="150"/>
      <c r="CJ285" s="150"/>
      <c r="CK285" s="150"/>
      <c r="CL285" s="150"/>
      <c r="CM285" s="150"/>
      <c r="CN285" s="150"/>
      <c r="CO285" s="150"/>
      <c r="CP285" s="150"/>
      <c r="CQ285" s="150">
        <f t="shared" si="1270"/>
        <v>0</v>
      </c>
      <c r="CR285" s="150">
        <f t="shared" si="1271"/>
        <v>0</v>
      </c>
      <c r="CS285" s="150">
        <f t="shared" si="1272"/>
        <v>0</v>
      </c>
      <c r="CT285" s="150">
        <f t="shared" si="1273"/>
        <v>0</v>
      </c>
      <c r="CU285" s="150"/>
      <c r="CV285" s="150"/>
      <c r="CW285" s="150">
        <f t="shared" si="1276"/>
        <v>0</v>
      </c>
      <c r="CX285" s="150">
        <f t="shared" si="1290"/>
        <v>0</v>
      </c>
      <c r="CY285" s="150"/>
      <c r="CZ285" s="150"/>
      <c r="DA285" s="150">
        <f t="shared" si="1277"/>
        <v>0</v>
      </c>
      <c r="DB285" s="150">
        <f t="shared" si="1278"/>
        <v>0</v>
      </c>
      <c r="DC285" s="150"/>
      <c r="DD285" s="150"/>
      <c r="DE285" s="150">
        <f t="shared" si="1279"/>
        <v>0</v>
      </c>
      <c r="DF285" s="150">
        <f t="shared" si="1280"/>
        <v>0</v>
      </c>
      <c r="DG285" s="150">
        <f t="shared" si="1312"/>
        <v>0</v>
      </c>
      <c r="DH285" s="150">
        <f t="shared" si="1313"/>
        <v>0</v>
      </c>
      <c r="DI285" s="150">
        <f t="shared" si="1316"/>
        <v>0</v>
      </c>
      <c r="DJ285" s="150">
        <f t="shared" si="1317"/>
        <v>0</v>
      </c>
      <c r="DK285" s="104">
        <f t="shared" si="1157"/>
        <v>0</v>
      </c>
      <c r="DL285" s="104">
        <f t="shared" si="1158"/>
        <v>0</v>
      </c>
      <c r="DM285" s="104">
        <f t="shared" si="1246"/>
        <v>0</v>
      </c>
      <c r="DN285" s="104">
        <f t="shared" si="1247"/>
        <v>0</v>
      </c>
    </row>
    <row r="286" spans="1:126" ht="18.75">
      <c r="A286" s="18"/>
      <c r="B286" s="18" t="s">
        <v>460</v>
      </c>
      <c r="C286" s="19" t="s">
        <v>40</v>
      </c>
      <c r="D286" s="20" t="s">
        <v>446</v>
      </c>
      <c r="E286" s="21" t="s">
        <v>461</v>
      </c>
      <c r="F286" s="66">
        <v>8182.66</v>
      </c>
      <c r="G286" s="66">
        <v>5831.45</v>
      </c>
      <c r="H286" s="66">
        <v>8532.66</v>
      </c>
      <c r="I286" s="66">
        <v>5831.45</v>
      </c>
      <c r="J286" s="98">
        <f t="shared" ref="J286:AA286" si="1319">J285+J284+J283+J282+J281+J280+J278+J279+J277+J276+J275+J274+J273+J272</f>
        <v>9000</v>
      </c>
      <c r="K286" s="98">
        <f t="shared" si="1319"/>
        <v>0</v>
      </c>
      <c r="L286" s="98">
        <f t="shared" si="1319"/>
        <v>0</v>
      </c>
      <c r="M286" s="98">
        <f t="shared" si="1319"/>
        <v>9000</v>
      </c>
      <c r="N286" s="98">
        <f t="shared" si="1319"/>
        <v>0</v>
      </c>
      <c r="O286" s="98">
        <f t="shared" si="1319"/>
        <v>0</v>
      </c>
      <c r="P286" s="98">
        <f t="shared" si="1319"/>
        <v>0</v>
      </c>
      <c r="Q286" s="98">
        <f t="shared" si="1319"/>
        <v>0</v>
      </c>
      <c r="R286" s="98">
        <f t="shared" si="1319"/>
        <v>9000</v>
      </c>
      <c r="S286" s="98">
        <f t="shared" si="1319"/>
        <v>6200</v>
      </c>
      <c r="T286" s="98">
        <f t="shared" si="1319"/>
        <v>0</v>
      </c>
      <c r="U286" s="98">
        <f t="shared" si="1319"/>
        <v>0</v>
      </c>
      <c r="V286" s="98">
        <f t="shared" si="1319"/>
        <v>9018.7099999999991</v>
      </c>
      <c r="W286" s="98">
        <f t="shared" si="1319"/>
        <v>6025.9500000000007</v>
      </c>
      <c r="X286" s="98">
        <f t="shared" si="1319"/>
        <v>-18.709999999999127</v>
      </c>
      <c r="Y286" s="98">
        <f t="shared" si="1319"/>
        <v>174.04999999999927</v>
      </c>
      <c r="Z286" s="98">
        <f t="shared" si="1319"/>
        <v>9100</v>
      </c>
      <c r="AA286" s="98">
        <f t="shared" si="1319"/>
        <v>0</v>
      </c>
      <c r="AB286" s="66">
        <f t="shared" si="1205"/>
        <v>9100</v>
      </c>
      <c r="AC286" s="109">
        <f t="shared" si="1206"/>
        <v>0</v>
      </c>
      <c r="AD286" s="66">
        <f t="shared" ref="AD286:CQ286" si="1320">+AD272</f>
        <v>9100</v>
      </c>
      <c r="AE286" s="66">
        <f t="shared" si="1320"/>
        <v>6900</v>
      </c>
      <c r="AF286" s="66">
        <f t="shared" si="1320"/>
        <v>6093.64</v>
      </c>
      <c r="AG286" s="66">
        <f t="shared" si="1320"/>
        <v>2250</v>
      </c>
      <c r="AH286" s="66">
        <f t="shared" si="1320"/>
        <v>1756</v>
      </c>
      <c r="AI286" s="134">
        <f t="shared" si="1320"/>
        <v>750</v>
      </c>
      <c r="AJ286" s="66">
        <f t="shared" si="1320"/>
        <v>620</v>
      </c>
      <c r="AK286" s="66">
        <f t="shared" si="1320"/>
        <v>0</v>
      </c>
      <c r="AL286" s="66">
        <f t="shared" si="1320"/>
        <v>0</v>
      </c>
      <c r="AM286" s="66">
        <f t="shared" si="1320"/>
        <v>2250</v>
      </c>
      <c r="AN286" s="66">
        <f t="shared" si="1320"/>
        <v>1710.82</v>
      </c>
      <c r="AO286" s="66">
        <f t="shared" si="1320"/>
        <v>0</v>
      </c>
      <c r="AP286" s="66">
        <f t="shared" si="1320"/>
        <v>0</v>
      </c>
      <c r="AQ286" s="66">
        <f t="shared" si="1320"/>
        <v>4500</v>
      </c>
      <c r="AR286" s="66">
        <f t="shared" si="1320"/>
        <v>3466.8199999999997</v>
      </c>
      <c r="AS286" s="66">
        <f t="shared" si="1320"/>
        <v>0</v>
      </c>
      <c r="AT286" s="66">
        <f t="shared" si="1320"/>
        <v>0</v>
      </c>
      <c r="AU286" s="66">
        <f t="shared" si="1320"/>
        <v>2275</v>
      </c>
      <c r="AV286" s="66">
        <f t="shared" si="1320"/>
        <v>1725</v>
      </c>
      <c r="AW286" s="66">
        <f t="shared" si="1320"/>
        <v>0</v>
      </c>
      <c r="AX286" s="66">
        <f t="shared" si="1320"/>
        <v>650</v>
      </c>
      <c r="AY286" s="66">
        <f t="shared" si="1320"/>
        <v>7525</v>
      </c>
      <c r="AZ286" s="66">
        <f t="shared" si="1320"/>
        <v>6461.82</v>
      </c>
      <c r="BA286" s="66">
        <f t="shared" si="1320"/>
        <v>13986.82</v>
      </c>
      <c r="BB286" s="66">
        <f t="shared" si="1320"/>
        <v>7254.45</v>
      </c>
      <c r="BC286" s="66">
        <f t="shared" si="1320"/>
        <v>6674.79</v>
      </c>
      <c r="BD286" s="66">
        <f t="shared" si="1320"/>
        <v>270.55000000000018</v>
      </c>
      <c r="BE286" s="66">
        <f t="shared" si="1320"/>
        <v>-212.97000000000025</v>
      </c>
      <c r="BF286" s="66">
        <f t="shared" si="1320"/>
        <v>1450.89</v>
      </c>
      <c r="BG286" s="134">
        <f t="shared" si="1320"/>
        <v>1334.96</v>
      </c>
      <c r="BH286" s="134">
        <f t="shared" si="1320"/>
        <v>590.16999999999996</v>
      </c>
      <c r="BI286" s="134">
        <f t="shared" si="1320"/>
        <v>773.97</v>
      </c>
      <c r="BJ286" s="134">
        <f t="shared" si="1320"/>
        <v>500</v>
      </c>
      <c r="BK286" s="134">
        <f t="shared" si="1320"/>
        <v>0</v>
      </c>
      <c r="BL286" s="134">
        <f t="shared" si="1320"/>
        <v>8615.17</v>
      </c>
      <c r="BM286" s="134">
        <f t="shared" si="1320"/>
        <v>7235.79</v>
      </c>
      <c r="BN286" s="134">
        <f t="shared" si="1320"/>
        <v>15850.96</v>
      </c>
      <c r="BO286" s="134">
        <f t="shared" si="1320"/>
        <v>8033.54</v>
      </c>
      <c r="BP286" s="134">
        <f t="shared" si="1320"/>
        <v>8305.66</v>
      </c>
      <c r="BQ286" s="66">
        <f t="shared" si="1320"/>
        <v>581.63000000000011</v>
      </c>
      <c r="BR286" s="66">
        <f t="shared" si="1320"/>
        <v>-1069.8699999999999</v>
      </c>
      <c r="BS286" s="66">
        <f t="shared" si="1320"/>
        <v>730.32</v>
      </c>
      <c r="BT286" s="66">
        <f t="shared" si="1320"/>
        <v>755.06</v>
      </c>
      <c r="BU286" s="66">
        <f t="shared" si="1320"/>
        <v>148.68999999999994</v>
      </c>
      <c r="BV286" s="66">
        <f t="shared" si="1320"/>
        <v>0</v>
      </c>
      <c r="BW286" s="66">
        <f t="shared" si="1320"/>
        <v>185.55</v>
      </c>
      <c r="BX286" s="66">
        <f t="shared" si="1320"/>
        <v>0</v>
      </c>
      <c r="BY286" s="66">
        <f t="shared" si="1320"/>
        <v>0</v>
      </c>
      <c r="BZ286" s="66">
        <f t="shared" si="1320"/>
        <v>480.96</v>
      </c>
      <c r="CA286" s="66">
        <f t="shared" si="1320"/>
        <v>8949.41</v>
      </c>
      <c r="CB286" s="66">
        <f t="shared" si="1320"/>
        <v>7716.75</v>
      </c>
      <c r="CC286" s="66">
        <f t="shared" si="1320"/>
        <v>9844.35</v>
      </c>
      <c r="CD286" s="134">
        <f t="shared" si="1320"/>
        <v>8874.26</v>
      </c>
      <c r="CE286" s="193">
        <f t="shared" si="1320"/>
        <v>820</v>
      </c>
      <c r="CF286" s="193">
        <f t="shared" si="1320"/>
        <v>700</v>
      </c>
      <c r="CG286" s="193">
        <f t="shared" si="1320"/>
        <v>2237.35</v>
      </c>
      <c r="CH286" s="193">
        <f t="shared" si="1320"/>
        <v>1929.19</v>
      </c>
      <c r="CI286" s="193">
        <f t="shared" si="1320"/>
        <v>0</v>
      </c>
      <c r="CJ286" s="193">
        <f t="shared" si="1320"/>
        <v>0</v>
      </c>
      <c r="CK286" s="193">
        <f t="shared" si="1320"/>
        <v>2500</v>
      </c>
      <c r="CL286" s="193">
        <f t="shared" si="1320"/>
        <v>2295.42</v>
      </c>
      <c r="CM286" s="193">
        <f t="shared" si="1320"/>
        <v>0</v>
      </c>
      <c r="CN286" s="193">
        <f t="shared" si="1320"/>
        <v>0</v>
      </c>
      <c r="CO286" s="193">
        <f t="shared" si="1320"/>
        <v>9845</v>
      </c>
      <c r="CP286" s="193">
        <f t="shared" si="1320"/>
        <v>10400</v>
      </c>
      <c r="CQ286" s="193">
        <f t="shared" si="1320"/>
        <v>10000</v>
      </c>
      <c r="CR286" s="193">
        <f t="shared" ref="CR286:DV286" si="1321">+CR272</f>
        <v>10400</v>
      </c>
      <c r="CS286" s="193">
        <f t="shared" si="1321"/>
        <v>9845</v>
      </c>
      <c r="CT286" s="193">
        <f t="shared" si="1321"/>
        <v>10400</v>
      </c>
      <c r="CU286" s="193">
        <f t="shared" si="1321"/>
        <v>9845</v>
      </c>
      <c r="CV286" s="193">
        <f t="shared" si="1321"/>
        <v>10400</v>
      </c>
      <c r="CW286" s="193">
        <f t="shared" si="1321"/>
        <v>2460.77</v>
      </c>
      <c r="CX286" s="193">
        <f t="shared" si="1321"/>
        <v>2599.91</v>
      </c>
      <c r="CY286" s="193">
        <f t="shared" si="1321"/>
        <v>0</v>
      </c>
      <c r="CZ286" s="193">
        <f t="shared" si="1321"/>
        <v>0</v>
      </c>
      <c r="DA286" s="193">
        <f t="shared" si="1321"/>
        <v>5780.77</v>
      </c>
      <c r="DB286" s="193">
        <f t="shared" si="1321"/>
        <v>5595.33</v>
      </c>
      <c r="DC286" s="193">
        <f t="shared" si="1321"/>
        <v>5405.05</v>
      </c>
      <c r="DD286" s="193">
        <f t="shared" si="1321"/>
        <v>4090.12</v>
      </c>
      <c r="DE286" s="193">
        <f t="shared" si="1321"/>
        <v>375.72000000000025</v>
      </c>
      <c r="DF286" s="193">
        <f t="shared" si="1321"/>
        <v>1505.21</v>
      </c>
      <c r="DG286" s="193">
        <f t="shared" si="1321"/>
        <v>2461.25</v>
      </c>
      <c r="DH286" s="193">
        <f t="shared" si="1321"/>
        <v>2125</v>
      </c>
      <c r="DI286" s="193">
        <f t="shared" si="1321"/>
        <v>2084.66</v>
      </c>
      <c r="DJ286" s="193">
        <f t="shared" si="1321"/>
        <v>618.99</v>
      </c>
      <c r="DK286" s="104">
        <f t="shared" si="1157"/>
        <v>2134.5699999999997</v>
      </c>
      <c r="DL286" s="104">
        <f t="shared" si="1158"/>
        <v>2285.6800000000003</v>
      </c>
      <c r="DM286" s="104">
        <f t="shared" si="1246"/>
        <v>1979.5699999999997</v>
      </c>
      <c r="DN286" s="104">
        <f t="shared" si="1247"/>
        <v>4185.68</v>
      </c>
      <c r="DO286" s="66">
        <f t="shared" si="1321"/>
        <v>10000</v>
      </c>
      <c r="DP286" s="66">
        <f t="shared" si="1321"/>
        <v>8500</v>
      </c>
      <c r="DQ286" s="66">
        <f t="shared" si="1321"/>
        <v>10800</v>
      </c>
      <c r="DR286" s="66">
        <f t="shared" si="1321"/>
        <v>8000</v>
      </c>
      <c r="DS286" s="66">
        <f t="shared" si="1321"/>
        <v>0</v>
      </c>
      <c r="DT286" s="66">
        <f t="shared" si="1321"/>
        <v>0</v>
      </c>
      <c r="DU286" s="66">
        <f t="shared" si="1321"/>
        <v>0</v>
      </c>
      <c r="DV286" s="66">
        <f t="shared" si="1321"/>
        <v>0</v>
      </c>
    </row>
    <row r="287" spans="1:126" ht="37.5">
      <c r="A287" s="18">
        <v>12</v>
      </c>
      <c r="B287" s="18" t="s">
        <v>462</v>
      </c>
      <c r="C287" s="19" t="s">
        <v>40</v>
      </c>
      <c r="D287" s="20" t="s">
        <v>463</v>
      </c>
      <c r="E287" s="21" t="s">
        <v>464</v>
      </c>
      <c r="F287" s="81">
        <v>0</v>
      </c>
      <c r="G287" s="81">
        <v>0</v>
      </c>
      <c r="H287" s="81">
        <v>0</v>
      </c>
      <c r="I287" s="22">
        <v>0</v>
      </c>
      <c r="J287" s="88">
        <v>0</v>
      </c>
      <c r="K287" s="87"/>
      <c r="L287" s="87"/>
      <c r="M287" s="88">
        <f t="shared" ref="M287:M289" si="1322">+L287+K287+J287</f>
        <v>0</v>
      </c>
      <c r="N287" s="87"/>
      <c r="O287" s="87"/>
      <c r="P287" s="87"/>
      <c r="Q287" s="88">
        <f t="shared" ref="Q287" si="1323">+P287+O287+N287</f>
        <v>0</v>
      </c>
      <c r="R287" s="87">
        <f>+Q287+M287</f>
        <v>0</v>
      </c>
      <c r="S287" s="87"/>
      <c r="V287" s="22">
        <f t="shared" ref="V287" si="1324">ROUND(H287*1.0583,2)</f>
        <v>0</v>
      </c>
      <c r="W287" s="17">
        <f t="shared" ref="W287" si="1325">ROUND(I287*1.0327,2)</f>
        <v>0</v>
      </c>
      <c r="X287" s="108">
        <f t="shared" si="1203"/>
        <v>0</v>
      </c>
      <c r="Y287" s="108">
        <f t="shared" si="1204"/>
        <v>0</v>
      </c>
      <c r="Z287" s="108">
        <v>0</v>
      </c>
      <c r="AA287" s="108">
        <v>0</v>
      </c>
      <c r="AB287" s="108">
        <f t="shared" si="1205"/>
        <v>0</v>
      </c>
      <c r="AC287" s="109">
        <f t="shared" si="1206"/>
        <v>0</v>
      </c>
      <c r="AD287" s="108"/>
      <c r="AE287" s="108"/>
      <c r="AF287" s="108">
        <f t="shared" si="1209"/>
        <v>0</v>
      </c>
      <c r="AG287" s="108">
        <f t="shared" si="1210"/>
        <v>0</v>
      </c>
      <c r="AH287" s="108">
        <f t="shared" si="1211"/>
        <v>0</v>
      </c>
      <c r="AI287" s="127">
        <f t="shared" si="1212"/>
        <v>0</v>
      </c>
      <c r="AJ287" s="108">
        <f t="shared" si="1213"/>
        <v>0</v>
      </c>
      <c r="AM287" s="108">
        <f t="shared" si="1214"/>
        <v>0</v>
      </c>
      <c r="AN287" s="108">
        <f t="shared" si="1215"/>
        <v>0</v>
      </c>
      <c r="AQ287" s="108">
        <f t="shared" si="1216"/>
        <v>0</v>
      </c>
      <c r="AR287" s="108">
        <f t="shared" si="1217"/>
        <v>0</v>
      </c>
      <c r="AU287" s="108">
        <f t="shared" ref="AU287:AU309" si="1326">ROUND(AD287*25%,2)</f>
        <v>0</v>
      </c>
      <c r="AV287" s="108">
        <f>ROUND(AE287*25%,2)</f>
        <v>0</v>
      </c>
      <c r="AY287" s="108">
        <f t="shared" si="1218"/>
        <v>0</v>
      </c>
      <c r="AZ287" s="108">
        <f t="shared" si="1219"/>
        <v>0</v>
      </c>
      <c r="BA287" s="108">
        <f t="shared" si="1220"/>
        <v>0</v>
      </c>
      <c r="BD287" s="139">
        <f t="shared" si="1221"/>
        <v>0</v>
      </c>
      <c r="BE287" s="139">
        <f t="shared" si="1222"/>
        <v>0</v>
      </c>
      <c r="BF287" s="139">
        <f t="shared" si="1223"/>
        <v>0</v>
      </c>
      <c r="BG287" s="139">
        <f t="shared" si="1224"/>
        <v>0</v>
      </c>
      <c r="BH287" s="108">
        <v>0</v>
      </c>
      <c r="BI287" s="108">
        <v>0</v>
      </c>
      <c r="BL287" s="108">
        <f t="shared" si="1244"/>
        <v>0</v>
      </c>
      <c r="BM287" s="108">
        <f t="shared" si="1262"/>
        <v>0</v>
      </c>
      <c r="BN287" s="108">
        <f t="shared" si="1263"/>
        <v>0</v>
      </c>
      <c r="BP287" s="127"/>
      <c r="BQ287" s="108">
        <f t="shared" si="1264"/>
        <v>0</v>
      </c>
      <c r="BR287" s="108">
        <f t="shared" si="1265"/>
        <v>0</v>
      </c>
      <c r="BS287" s="108">
        <f t="shared" si="1266"/>
        <v>0</v>
      </c>
      <c r="BT287" s="108">
        <f t="shared" si="1267"/>
        <v>0</v>
      </c>
      <c r="BU287" s="108">
        <f t="shared" si="1297"/>
        <v>0</v>
      </c>
      <c r="BV287" s="108">
        <v>0</v>
      </c>
      <c r="CA287" s="108">
        <v>0</v>
      </c>
      <c r="CB287" s="108">
        <v>0</v>
      </c>
      <c r="CC287">
        <v>0</v>
      </c>
      <c r="CD287">
        <v>0</v>
      </c>
      <c r="CE287" s="189">
        <v>0</v>
      </c>
      <c r="CF287" s="189">
        <v>0</v>
      </c>
      <c r="CG287" s="189">
        <f t="shared" si="1268"/>
        <v>0</v>
      </c>
      <c r="CH287" s="189">
        <f t="shared" si="1269"/>
        <v>0</v>
      </c>
      <c r="CI287" s="150"/>
      <c r="CJ287" s="150"/>
      <c r="CK287" s="150">
        <v>0</v>
      </c>
      <c r="CL287" s="150">
        <v>0</v>
      </c>
      <c r="CM287" s="150"/>
      <c r="CN287" s="150"/>
      <c r="CO287" s="150"/>
      <c r="CP287" s="150"/>
      <c r="CQ287" s="150">
        <f t="shared" si="1270"/>
        <v>0</v>
      </c>
      <c r="CR287" s="150">
        <f t="shared" si="1271"/>
        <v>0</v>
      </c>
      <c r="CS287" s="150">
        <f t="shared" si="1272"/>
        <v>0</v>
      </c>
      <c r="CT287" s="150">
        <f t="shared" si="1273"/>
        <v>0</v>
      </c>
      <c r="CU287" s="150"/>
      <c r="CV287" s="150"/>
      <c r="CW287" s="150">
        <f t="shared" si="1276"/>
        <v>0</v>
      </c>
      <c r="CX287" s="150">
        <f t="shared" si="1290"/>
        <v>0</v>
      </c>
      <c r="CY287" s="150"/>
      <c r="CZ287" s="150"/>
      <c r="DA287" s="150">
        <f t="shared" si="1277"/>
        <v>0</v>
      </c>
      <c r="DB287" s="150">
        <f t="shared" si="1278"/>
        <v>0</v>
      </c>
      <c r="DC287" s="150"/>
      <c r="DD287" s="150"/>
      <c r="DE287" s="150">
        <f t="shared" si="1279"/>
        <v>0</v>
      </c>
      <c r="DF287" s="150">
        <f t="shared" si="1280"/>
        <v>0</v>
      </c>
      <c r="DG287" s="150">
        <f>ROUND(0.25*(MIN(CU287,DO287)),2)</f>
        <v>0</v>
      </c>
      <c r="DH287" s="150">
        <f>ROUND(0.25*(MIN(CV287,DP287)),2)</f>
        <v>0</v>
      </c>
      <c r="DI287" s="150">
        <f>+DG287-DE287</f>
        <v>0</v>
      </c>
      <c r="DJ287" s="150">
        <f>+DH287-DF287</f>
        <v>0</v>
      </c>
      <c r="DK287" s="104">
        <f t="shared" si="1157"/>
        <v>0</v>
      </c>
      <c r="DL287" s="104">
        <f t="shared" si="1158"/>
        <v>0</v>
      </c>
      <c r="DM287" s="104">
        <f t="shared" si="1246"/>
        <v>0</v>
      </c>
      <c r="DN287" s="104">
        <f t="shared" si="1247"/>
        <v>0</v>
      </c>
    </row>
    <row r="288" spans="1:126" ht="37.5">
      <c r="A288" s="45"/>
      <c r="B288" s="45"/>
      <c r="C288" s="46"/>
      <c r="D288" s="47" t="s">
        <v>465</v>
      </c>
      <c r="E288" s="48" t="s">
        <v>466</v>
      </c>
      <c r="F288" s="49">
        <v>8182.66</v>
      </c>
      <c r="G288" s="49">
        <v>5831.45</v>
      </c>
      <c r="H288" s="49">
        <v>8532.66</v>
      </c>
      <c r="I288" s="49">
        <v>5831.45</v>
      </c>
      <c r="J288" s="92">
        <f t="shared" ref="J288:AA288" si="1327">+J286+J287</f>
        <v>9000</v>
      </c>
      <c r="K288" s="92">
        <f t="shared" si="1327"/>
        <v>0</v>
      </c>
      <c r="L288" s="92">
        <f t="shared" si="1327"/>
        <v>0</v>
      </c>
      <c r="M288" s="92">
        <f t="shared" si="1327"/>
        <v>9000</v>
      </c>
      <c r="N288" s="92">
        <f t="shared" si="1327"/>
        <v>0</v>
      </c>
      <c r="O288" s="92">
        <f t="shared" si="1327"/>
        <v>0</v>
      </c>
      <c r="P288" s="92">
        <f t="shared" si="1327"/>
        <v>0</v>
      </c>
      <c r="Q288" s="92">
        <f t="shared" si="1327"/>
        <v>0</v>
      </c>
      <c r="R288" s="92">
        <f t="shared" si="1327"/>
        <v>9000</v>
      </c>
      <c r="S288" s="92">
        <f t="shared" si="1327"/>
        <v>6200</v>
      </c>
      <c r="T288" s="92">
        <f t="shared" si="1327"/>
        <v>0</v>
      </c>
      <c r="U288" s="92">
        <f t="shared" si="1327"/>
        <v>0</v>
      </c>
      <c r="V288" s="92">
        <f t="shared" si="1327"/>
        <v>9018.7099999999991</v>
      </c>
      <c r="W288" s="92">
        <f t="shared" si="1327"/>
        <v>6025.9500000000007</v>
      </c>
      <c r="X288" s="92">
        <f t="shared" si="1327"/>
        <v>-18.709999999999127</v>
      </c>
      <c r="Y288" s="92">
        <f t="shared" si="1327"/>
        <v>174.04999999999927</v>
      </c>
      <c r="Z288" s="92">
        <f t="shared" si="1327"/>
        <v>9100</v>
      </c>
      <c r="AA288" s="92">
        <f t="shared" si="1327"/>
        <v>0</v>
      </c>
      <c r="AB288" s="49">
        <f t="shared" si="1205"/>
        <v>9100</v>
      </c>
      <c r="AC288" s="109">
        <f t="shared" si="1206"/>
        <v>0</v>
      </c>
      <c r="AD288" s="49">
        <f t="shared" ref="AD288:BY288" si="1328">+AD286+AD287</f>
        <v>9100</v>
      </c>
      <c r="AE288" s="49">
        <f t="shared" si="1328"/>
        <v>6900</v>
      </c>
      <c r="AF288" s="49">
        <f t="shared" si="1328"/>
        <v>6093.64</v>
      </c>
      <c r="AG288" s="49">
        <f t="shared" si="1328"/>
        <v>2250</v>
      </c>
      <c r="AH288" s="49">
        <f t="shared" si="1328"/>
        <v>1756</v>
      </c>
      <c r="AI288" s="130">
        <f t="shared" si="1328"/>
        <v>750</v>
      </c>
      <c r="AJ288" s="49">
        <f t="shared" si="1328"/>
        <v>620</v>
      </c>
      <c r="AK288" s="49">
        <f t="shared" si="1328"/>
        <v>0</v>
      </c>
      <c r="AL288" s="49">
        <f t="shared" si="1328"/>
        <v>0</v>
      </c>
      <c r="AM288" s="49">
        <f t="shared" si="1328"/>
        <v>2250</v>
      </c>
      <c r="AN288" s="49">
        <f t="shared" si="1328"/>
        <v>1710.82</v>
      </c>
      <c r="AO288" s="49">
        <f t="shared" si="1328"/>
        <v>0</v>
      </c>
      <c r="AP288" s="49">
        <f t="shared" si="1328"/>
        <v>0</v>
      </c>
      <c r="AQ288" s="49">
        <f t="shared" si="1328"/>
        <v>4500</v>
      </c>
      <c r="AR288" s="49">
        <f t="shared" si="1328"/>
        <v>3466.8199999999997</v>
      </c>
      <c r="AS288" s="49">
        <f t="shared" si="1328"/>
        <v>0</v>
      </c>
      <c r="AT288" s="49">
        <f t="shared" si="1328"/>
        <v>0</v>
      </c>
      <c r="AU288" s="49">
        <f t="shared" si="1328"/>
        <v>2275</v>
      </c>
      <c r="AV288" s="49">
        <f t="shared" si="1328"/>
        <v>1725</v>
      </c>
      <c r="AW288" s="49">
        <f t="shared" si="1328"/>
        <v>0</v>
      </c>
      <c r="AX288" s="49">
        <f t="shared" si="1328"/>
        <v>650</v>
      </c>
      <c r="AY288" s="49">
        <f t="shared" si="1328"/>
        <v>7525</v>
      </c>
      <c r="AZ288" s="49">
        <f t="shared" si="1328"/>
        <v>6461.82</v>
      </c>
      <c r="BA288" s="49">
        <f t="shared" si="1328"/>
        <v>13986.82</v>
      </c>
      <c r="BB288" s="49">
        <f t="shared" si="1328"/>
        <v>7254.45</v>
      </c>
      <c r="BC288" s="49">
        <f t="shared" si="1328"/>
        <v>6674.79</v>
      </c>
      <c r="BD288" s="49">
        <f t="shared" si="1328"/>
        <v>270.55000000000018</v>
      </c>
      <c r="BE288" s="49">
        <f t="shared" si="1328"/>
        <v>-212.97000000000025</v>
      </c>
      <c r="BF288" s="49">
        <f t="shared" si="1328"/>
        <v>1450.89</v>
      </c>
      <c r="BG288" s="130">
        <f t="shared" si="1328"/>
        <v>1334.96</v>
      </c>
      <c r="BH288" s="130">
        <f t="shared" si="1328"/>
        <v>590.16999999999996</v>
      </c>
      <c r="BI288" s="130">
        <f t="shared" si="1328"/>
        <v>773.97</v>
      </c>
      <c r="BJ288" s="130">
        <f t="shared" si="1328"/>
        <v>500</v>
      </c>
      <c r="BK288" s="130">
        <f t="shared" si="1328"/>
        <v>0</v>
      </c>
      <c r="BL288" s="130">
        <f t="shared" si="1328"/>
        <v>8615.17</v>
      </c>
      <c r="BM288" s="130">
        <f t="shared" si="1328"/>
        <v>7235.79</v>
      </c>
      <c r="BN288" s="130">
        <f t="shared" si="1328"/>
        <v>15850.96</v>
      </c>
      <c r="BO288" s="130">
        <f t="shared" si="1328"/>
        <v>8033.54</v>
      </c>
      <c r="BP288" s="130">
        <f t="shared" si="1328"/>
        <v>8305.66</v>
      </c>
      <c r="BQ288" s="49">
        <f t="shared" si="1328"/>
        <v>581.63000000000011</v>
      </c>
      <c r="BR288" s="49">
        <f t="shared" si="1328"/>
        <v>-1069.8699999999999</v>
      </c>
      <c r="BS288" s="49">
        <f t="shared" si="1328"/>
        <v>730.32</v>
      </c>
      <c r="BT288" s="49">
        <f t="shared" si="1328"/>
        <v>755.06</v>
      </c>
      <c r="BU288" s="49">
        <f t="shared" si="1328"/>
        <v>148.68999999999994</v>
      </c>
      <c r="BV288" s="49">
        <f t="shared" si="1328"/>
        <v>0</v>
      </c>
      <c r="BW288" s="49">
        <f t="shared" si="1328"/>
        <v>185.55</v>
      </c>
      <c r="BX288" s="49">
        <f t="shared" si="1328"/>
        <v>0</v>
      </c>
      <c r="BY288" s="49">
        <f t="shared" si="1328"/>
        <v>0</v>
      </c>
      <c r="BZ288" s="49">
        <f>+BZ286+BZ287</f>
        <v>480.96</v>
      </c>
      <c r="CA288" s="49">
        <f t="shared" ref="CA288:CF288" si="1329">+CA286+CA287</f>
        <v>8949.41</v>
      </c>
      <c r="CB288" s="49">
        <f t="shared" si="1329"/>
        <v>7716.75</v>
      </c>
      <c r="CC288" s="49">
        <f t="shared" si="1329"/>
        <v>9844.35</v>
      </c>
      <c r="CD288" s="130">
        <f t="shared" si="1329"/>
        <v>8874.26</v>
      </c>
      <c r="CE288" s="191">
        <f t="shared" si="1329"/>
        <v>820</v>
      </c>
      <c r="CF288" s="191">
        <f t="shared" si="1329"/>
        <v>700</v>
      </c>
      <c r="CG288" s="191">
        <f t="shared" ref="CG288" si="1330">+CG286+CG287</f>
        <v>2237.35</v>
      </c>
      <c r="CH288" s="191">
        <f t="shared" ref="CH288" si="1331">+CH286+CH287</f>
        <v>1929.19</v>
      </c>
      <c r="CI288" s="191">
        <f t="shared" ref="CI288" si="1332">+CI286+CI287</f>
        <v>0</v>
      </c>
      <c r="CJ288" s="191">
        <f t="shared" ref="CJ288" si="1333">+CJ286+CJ287</f>
        <v>0</v>
      </c>
      <c r="CK288" s="191">
        <f t="shared" ref="CK288" si="1334">+CK286+CK287</f>
        <v>2500</v>
      </c>
      <c r="CL288" s="191">
        <f t="shared" ref="CL288:DU288" si="1335">+CL286+CL287</f>
        <v>2295.42</v>
      </c>
      <c r="CM288" s="191">
        <f t="shared" si="1335"/>
        <v>0</v>
      </c>
      <c r="CN288" s="191">
        <f t="shared" si="1335"/>
        <v>0</v>
      </c>
      <c r="CO288" s="191">
        <f t="shared" si="1335"/>
        <v>9845</v>
      </c>
      <c r="CP288" s="191">
        <f t="shared" si="1335"/>
        <v>10400</v>
      </c>
      <c r="CQ288" s="191">
        <f t="shared" si="1335"/>
        <v>10000</v>
      </c>
      <c r="CR288" s="191">
        <f t="shared" si="1335"/>
        <v>10400</v>
      </c>
      <c r="CS288" s="191">
        <f t="shared" si="1335"/>
        <v>9845</v>
      </c>
      <c r="CT288" s="191">
        <f t="shared" si="1335"/>
        <v>10400</v>
      </c>
      <c r="CU288" s="191">
        <f t="shared" si="1335"/>
        <v>9845</v>
      </c>
      <c r="CV288" s="191">
        <f t="shared" si="1335"/>
        <v>10400</v>
      </c>
      <c r="CW288" s="191">
        <f t="shared" si="1335"/>
        <v>2460.77</v>
      </c>
      <c r="CX288" s="191">
        <f t="shared" si="1335"/>
        <v>2599.91</v>
      </c>
      <c r="CY288" s="191">
        <f t="shared" si="1335"/>
        <v>0</v>
      </c>
      <c r="CZ288" s="191">
        <f t="shared" si="1335"/>
        <v>0</v>
      </c>
      <c r="DA288" s="191">
        <f t="shared" si="1335"/>
        <v>5780.77</v>
      </c>
      <c r="DB288" s="191">
        <f t="shared" si="1335"/>
        <v>5595.33</v>
      </c>
      <c r="DC288" s="191">
        <f t="shared" si="1335"/>
        <v>5405.05</v>
      </c>
      <c r="DD288" s="191">
        <f t="shared" si="1335"/>
        <v>4090.12</v>
      </c>
      <c r="DE288" s="191">
        <f t="shared" si="1335"/>
        <v>375.72000000000025</v>
      </c>
      <c r="DF288" s="191">
        <f t="shared" si="1335"/>
        <v>1505.21</v>
      </c>
      <c r="DG288" s="191">
        <f t="shared" si="1335"/>
        <v>2461.25</v>
      </c>
      <c r="DH288" s="191">
        <f t="shared" si="1335"/>
        <v>2125</v>
      </c>
      <c r="DI288" s="191">
        <f t="shared" si="1335"/>
        <v>2084.66</v>
      </c>
      <c r="DJ288" s="191">
        <f t="shared" si="1335"/>
        <v>618.99</v>
      </c>
      <c r="DK288" s="104">
        <f t="shared" si="1157"/>
        <v>2134.5699999999997</v>
      </c>
      <c r="DL288" s="104">
        <f t="shared" si="1158"/>
        <v>2285.6800000000003</v>
      </c>
      <c r="DM288" s="104">
        <f t="shared" si="1246"/>
        <v>1979.5699999999997</v>
      </c>
      <c r="DN288" s="104">
        <f t="shared" si="1247"/>
        <v>4185.68</v>
      </c>
      <c r="DO288" s="49">
        <f t="shared" si="1335"/>
        <v>10000</v>
      </c>
      <c r="DP288" s="49">
        <f t="shared" si="1335"/>
        <v>8500</v>
      </c>
      <c r="DQ288" s="49">
        <f t="shared" si="1335"/>
        <v>10800</v>
      </c>
      <c r="DR288" s="49">
        <f t="shared" si="1335"/>
        <v>8000</v>
      </c>
      <c r="DS288" s="49">
        <f t="shared" si="1335"/>
        <v>0</v>
      </c>
      <c r="DT288" s="49">
        <f t="shared" si="1335"/>
        <v>0</v>
      </c>
      <c r="DU288" s="49">
        <f t="shared" si="1335"/>
        <v>0</v>
      </c>
    </row>
    <row r="289" spans="1:126" ht="18.75">
      <c r="A289" s="13">
        <v>1</v>
      </c>
      <c r="B289" s="43" t="s">
        <v>467</v>
      </c>
      <c r="C289" s="44"/>
      <c r="D289" s="120" t="s">
        <v>468</v>
      </c>
      <c r="E289" s="67" t="s">
        <v>469</v>
      </c>
      <c r="F289" s="81">
        <v>45.31</v>
      </c>
      <c r="G289" s="81">
        <v>0</v>
      </c>
      <c r="H289" s="81">
        <v>45.31</v>
      </c>
      <c r="I289" s="17">
        <v>0</v>
      </c>
      <c r="J289" s="86">
        <v>100</v>
      </c>
      <c r="K289" s="87"/>
      <c r="L289" s="87"/>
      <c r="M289" s="88">
        <f t="shared" si="1322"/>
        <v>100</v>
      </c>
      <c r="N289" s="87"/>
      <c r="O289" s="87"/>
      <c r="P289" s="87"/>
      <c r="Q289" s="88">
        <f t="shared" ref="Q289" si="1336">+P289+O289+N289</f>
        <v>0</v>
      </c>
      <c r="R289" s="87">
        <f>+Q289+M289</f>
        <v>100</v>
      </c>
      <c r="S289" s="87"/>
      <c r="V289" s="17">
        <f t="shared" ref="V289" si="1337">ROUND(H289*1.0583,2)</f>
        <v>47.95</v>
      </c>
      <c r="W289" s="17">
        <f t="shared" ref="W289" si="1338">ROUND(I289*1.0327,2)</f>
        <v>0</v>
      </c>
      <c r="X289" s="108">
        <f t="shared" si="1203"/>
        <v>52.05</v>
      </c>
      <c r="Y289" s="108">
        <f t="shared" si="1204"/>
        <v>0</v>
      </c>
      <c r="Z289" s="108">
        <v>47.95</v>
      </c>
      <c r="AA289" s="108"/>
      <c r="AB289" s="108">
        <f t="shared" si="1205"/>
        <v>47.95</v>
      </c>
      <c r="AC289" s="109">
        <f t="shared" si="1206"/>
        <v>0</v>
      </c>
      <c r="AD289" s="108">
        <f t="shared" ref="AD289" si="1339">IF(X289&gt;0,V289,R289)</f>
        <v>47.95</v>
      </c>
      <c r="AE289" s="108">
        <f t="shared" ref="AE289" si="1340">IF(Y289&gt;0,W289,S289)</f>
        <v>0</v>
      </c>
      <c r="AF289" s="108">
        <f t="shared" si="1209"/>
        <v>0</v>
      </c>
      <c r="AG289" s="108">
        <f t="shared" si="1210"/>
        <v>12</v>
      </c>
      <c r="AH289" s="108">
        <f t="shared" si="1211"/>
        <v>0</v>
      </c>
      <c r="AI289" s="127">
        <f t="shared" si="1212"/>
        <v>4</v>
      </c>
      <c r="AJ289" s="108">
        <f t="shared" si="1213"/>
        <v>0</v>
      </c>
      <c r="AM289" s="108">
        <f t="shared" si="1214"/>
        <v>11.99</v>
      </c>
      <c r="AN289" s="108">
        <f t="shared" si="1215"/>
        <v>0</v>
      </c>
      <c r="AQ289" s="108">
        <f t="shared" si="1216"/>
        <v>23.990000000000002</v>
      </c>
      <c r="AR289" s="108">
        <f t="shared" si="1217"/>
        <v>0</v>
      </c>
      <c r="AU289" s="108">
        <f t="shared" si="1326"/>
        <v>11.99</v>
      </c>
      <c r="AV289" s="108">
        <f t="shared" ref="AV289:AV293" si="1341">ROUND(AE289*25%,2)</f>
        <v>0</v>
      </c>
      <c r="AY289" s="108">
        <f t="shared" si="1218"/>
        <v>39.980000000000004</v>
      </c>
      <c r="AZ289" s="108">
        <f t="shared" si="1219"/>
        <v>0</v>
      </c>
      <c r="BA289" s="109">
        <f t="shared" si="1220"/>
        <v>39.980000000000004</v>
      </c>
      <c r="BB289" s="149">
        <v>31.67</v>
      </c>
      <c r="BC289" s="149"/>
      <c r="BD289" s="139">
        <f t="shared" si="1221"/>
        <v>8.3100000000000023</v>
      </c>
      <c r="BE289" s="139">
        <f t="shared" si="1222"/>
        <v>0</v>
      </c>
      <c r="BF289" s="139">
        <f t="shared" si="1223"/>
        <v>6.33</v>
      </c>
      <c r="BG289" s="139">
        <f t="shared" si="1224"/>
        <v>0</v>
      </c>
      <c r="BH289" s="108">
        <v>0</v>
      </c>
      <c r="BI289" s="108">
        <v>0</v>
      </c>
      <c r="BL289" s="108">
        <f t="shared" si="1244"/>
        <v>39.980000000000004</v>
      </c>
      <c r="BM289" s="108">
        <f t="shared" si="1262"/>
        <v>0</v>
      </c>
      <c r="BN289" s="108">
        <f t="shared" si="1263"/>
        <v>39.980000000000004</v>
      </c>
      <c r="BO289" s="108">
        <v>35.020000000000003</v>
      </c>
      <c r="BP289" s="127"/>
      <c r="BQ289" s="108">
        <f t="shared" si="1264"/>
        <v>4.9600000000000009</v>
      </c>
      <c r="BR289" s="108">
        <f t="shared" si="1265"/>
        <v>0</v>
      </c>
      <c r="BS289" s="108">
        <f t="shared" si="1266"/>
        <v>3.18</v>
      </c>
      <c r="BT289" s="108">
        <f t="shared" si="1267"/>
        <v>0</v>
      </c>
      <c r="BU289" s="143">
        <v>2.42</v>
      </c>
      <c r="BV289" s="143">
        <v>0</v>
      </c>
      <c r="BW289" s="143"/>
      <c r="BX289" s="143"/>
      <c r="BY289" s="143"/>
      <c r="BZ289" s="143"/>
      <c r="CA289" s="108">
        <v>42.400000000000006</v>
      </c>
      <c r="CB289" s="108">
        <v>0</v>
      </c>
      <c r="CC289">
        <v>46.64</v>
      </c>
      <c r="CD289">
        <v>0</v>
      </c>
      <c r="CE289" s="189">
        <v>4</v>
      </c>
      <c r="CF289" s="189">
        <v>0</v>
      </c>
      <c r="CG289" s="189">
        <f t="shared" si="1268"/>
        <v>10.6</v>
      </c>
      <c r="CH289" s="189">
        <f t="shared" si="1269"/>
        <v>0</v>
      </c>
      <c r="CI289" s="150"/>
      <c r="CJ289" s="150"/>
      <c r="CK289" s="150">
        <v>12</v>
      </c>
      <c r="CL289" s="150">
        <v>0</v>
      </c>
      <c r="CM289" s="150"/>
      <c r="CN289" s="150"/>
      <c r="CO289" s="150"/>
      <c r="CP289" s="150"/>
      <c r="CQ289" s="150">
        <f t="shared" si="1270"/>
        <v>48</v>
      </c>
      <c r="CR289" s="150">
        <f t="shared" si="1271"/>
        <v>0</v>
      </c>
      <c r="CS289" s="150">
        <v>48</v>
      </c>
      <c r="CT289" s="150">
        <f t="shared" si="1273"/>
        <v>0</v>
      </c>
      <c r="CU289" s="150">
        <v>48</v>
      </c>
      <c r="CV289" s="150">
        <v>0</v>
      </c>
      <c r="CW289" s="150">
        <f t="shared" si="1276"/>
        <v>12</v>
      </c>
      <c r="CX289" s="150">
        <f t="shared" si="1290"/>
        <v>0</v>
      </c>
      <c r="CY289" s="150"/>
      <c r="CZ289" s="150"/>
      <c r="DA289" s="150">
        <f t="shared" si="1277"/>
        <v>28</v>
      </c>
      <c r="DB289" s="150">
        <f t="shared" si="1278"/>
        <v>0</v>
      </c>
      <c r="DC289" s="150">
        <v>24.6</v>
      </c>
      <c r="DD289" s="150">
        <v>0</v>
      </c>
      <c r="DE289" s="150">
        <f t="shared" si="1279"/>
        <v>3.3999999999999986</v>
      </c>
      <c r="DF289" s="150">
        <f t="shared" si="1280"/>
        <v>0</v>
      </c>
      <c r="DG289" s="150">
        <f>ROUND(0.25*(MIN(CU289,DO289)),2)</f>
        <v>11.09</v>
      </c>
      <c r="DH289" s="150">
        <f>ROUND(0.25*(MIN(CV289,DP289)),2)</f>
        <v>0</v>
      </c>
      <c r="DI289" s="150">
        <f>+DG289-DE289</f>
        <v>7.6900000000000013</v>
      </c>
      <c r="DJ289" s="150">
        <f>+DH289-DF289</f>
        <v>0</v>
      </c>
      <c r="DK289" s="104">
        <f t="shared" si="1157"/>
        <v>8.6500000000000021</v>
      </c>
      <c r="DL289" s="104">
        <f t="shared" si="1158"/>
        <v>0</v>
      </c>
      <c r="DM289" s="104">
        <f t="shared" si="1246"/>
        <v>12.309999999999999</v>
      </c>
      <c r="DN289" s="104">
        <f t="shared" si="1247"/>
        <v>0</v>
      </c>
      <c r="DO289" s="104">
        <v>44.34</v>
      </c>
      <c r="DQ289" s="104">
        <v>50</v>
      </c>
    </row>
    <row r="290" spans="1:126" ht="37.5">
      <c r="A290" s="45"/>
      <c r="B290" s="45" t="s">
        <v>467</v>
      </c>
      <c r="C290" s="46" t="s">
        <v>40</v>
      </c>
      <c r="D290" s="47" t="s">
        <v>470</v>
      </c>
      <c r="E290" s="48" t="s">
        <v>471</v>
      </c>
      <c r="F290" s="65">
        <v>45.31</v>
      </c>
      <c r="G290" s="65">
        <v>0</v>
      </c>
      <c r="H290" s="65">
        <v>45.31</v>
      </c>
      <c r="I290" s="65">
        <v>0</v>
      </c>
      <c r="J290" s="97">
        <f t="shared" ref="J290:AA290" si="1342">J289</f>
        <v>100</v>
      </c>
      <c r="K290" s="97">
        <f t="shared" si="1342"/>
        <v>0</v>
      </c>
      <c r="L290" s="97">
        <f t="shared" si="1342"/>
        <v>0</v>
      </c>
      <c r="M290" s="97">
        <f t="shared" si="1342"/>
        <v>100</v>
      </c>
      <c r="N290" s="97">
        <f t="shared" si="1342"/>
        <v>0</v>
      </c>
      <c r="O290" s="97">
        <f t="shared" si="1342"/>
        <v>0</v>
      </c>
      <c r="P290" s="97">
        <f t="shared" si="1342"/>
        <v>0</v>
      </c>
      <c r="Q290" s="97">
        <f t="shared" si="1342"/>
        <v>0</v>
      </c>
      <c r="R290" s="97">
        <f t="shared" si="1342"/>
        <v>100</v>
      </c>
      <c r="S290" s="97">
        <f t="shared" si="1342"/>
        <v>0</v>
      </c>
      <c r="T290" s="97">
        <f t="shared" si="1342"/>
        <v>0</v>
      </c>
      <c r="U290" s="97">
        <f t="shared" si="1342"/>
        <v>0</v>
      </c>
      <c r="V290" s="97">
        <f t="shared" si="1342"/>
        <v>47.95</v>
      </c>
      <c r="W290" s="97">
        <f t="shared" si="1342"/>
        <v>0</v>
      </c>
      <c r="X290" s="97">
        <f t="shared" si="1342"/>
        <v>52.05</v>
      </c>
      <c r="Y290" s="97">
        <f t="shared" si="1342"/>
        <v>0</v>
      </c>
      <c r="Z290" s="97">
        <f t="shared" si="1342"/>
        <v>47.95</v>
      </c>
      <c r="AA290" s="97">
        <f t="shared" si="1342"/>
        <v>0</v>
      </c>
      <c r="AB290" s="65">
        <f t="shared" si="1205"/>
        <v>47.95</v>
      </c>
      <c r="AC290" s="109">
        <f t="shared" si="1206"/>
        <v>0</v>
      </c>
      <c r="AD290" s="65">
        <f t="shared" ref="AD290:CQ290" si="1343">AD289</f>
        <v>47.95</v>
      </c>
      <c r="AE290" s="65">
        <f t="shared" si="1343"/>
        <v>0</v>
      </c>
      <c r="AF290" s="65">
        <f t="shared" si="1343"/>
        <v>0</v>
      </c>
      <c r="AG290" s="65">
        <f t="shared" si="1343"/>
        <v>12</v>
      </c>
      <c r="AH290" s="65">
        <f t="shared" si="1343"/>
        <v>0</v>
      </c>
      <c r="AI290" s="129">
        <f t="shared" si="1343"/>
        <v>4</v>
      </c>
      <c r="AJ290" s="65">
        <f t="shared" si="1343"/>
        <v>0</v>
      </c>
      <c r="AK290" s="65">
        <f t="shared" si="1343"/>
        <v>0</v>
      </c>
      <c r="AL290" s="65">
        <f t="shared" si="1343"/>
        <v>0</v>
      </c>
      <c r="AM290" s="65">
        <f t="shared" si="1343"/>
        <v>11.99</v>
      </c>
      <c r="AN290" s="65">
        <f t="shared" si="1343"/>
        <v>0</v>
      </c>
      <c r="AO290" s="65">
        <f t="shared" si="1343"/>
        <v>0</v>
      </c>
      <c r="AP290" s="65">
        <f t="shared" si="1343"/>
        <v>0</v>
      </c>
      <c r="AQ290" s="65">
        <f t="shared" si="1343"/>
        <v>23.990000000000002</v>
      </c>
      <c r="AR290" s="65">
        <f t="shared" si="1343"/>
        <v>0</v>
      </c>
      <c r="AS290" s="65">
        <f t="shared" si="1343"/>
        <v>0</v>
      </c>
      <c r="AT290" s="65">
        <f t="shared" si="1343"/>
        <v>0</v>
      </c>
      <c r="AU290" s="65">
        <f t="shared" si="1343"/>
        <v>11.99</v>
      </c>
      <c r="AV290" s="65">
        <f t="shared" si="1343"/>
        <v>0</v>
      </c>
      <c r="AW290" s="65">
        <f t="shared" si="1343"/>
        <v>0</v>
      </c>
      <c r="AX290" s="65">
        <f t="shared" si="1343"/>
        <v>0</v>
      </c>
      <c r="AY290" s="65">
        <f t="shared" si="1343"/>
        <v>39.980000000000004</v>
      </c>
      <c r="AZ290" s="65">
        <f t="shared" si="1343"/>
        <v>0</v>
      </c>
      <c r="BA290" s="65">
        <f t="shared" si="1343"/>
        <v>39.980000000000004</v>
      </c>
      <c r="BB290" s="65">
        <f t="shared" si="1343"/>
        <v>31.67</v>
      </c>
      <c r="BC290" s="65">
        <f t="shared" si="1343"/>
        <v>0</v>
      </c>
      <c r="BD290" s="65">
        <f t="shared" si="1343"/>
        <v>8.3100000000000023</v>
      </c>
      <c r="BE290" s="65">
        <f t="shared" si="1343"/>
        <v>0</v>
      </c>
      <c r="BF290" s="65">
        <f t="shared" si="1343"/>
        <v>6.33</v>
      </c>
      <c r="BG290" s="129">
        <f t="shared" si="1343"/>
        <v>0</v>
      </c>
      <c r="BH290" s="129">
        <f t="shared" si="1343"/>
        <v>0</v>
      </c>
      <c r="BI290" s="129">
        <f t="shared" si="1343"/>
        <v>0</v>
      </c>
      <c r="BJ290" s="129">
        <f t="shared" si="1343"/>
        <v>0</v>
      </c>
      <c r="BK290" s="129">
        <f t="shared" si="1343"/>
        <v>0</v>
      </c>
      <c r="BL290" s="129">
        <f t="shared" si="1343"/>
        <v>39.980000000000004</v>
      </c>
      <c r="BM290" s="129">
        <f t="shared" si="1343"/>
        <v>0</v>
      </c>
      <c r="BN290" s="129">
        <f t="shared" si="1343"/>
        <v>39.980000000000004</v>
      </c>
      <c r="BO290" s="129">
        <f t="shared" si="1343"/>
        <v>35.020000000000003</v>
      </c>
      <c r="BP290" s="129">
        <f t="shared" si="1343"/>
        <v>0</v>
      </c>
      <c r="BQ290" s="65">
        <f t="shared" si="1343"/>
        <v>4.9600000000000009</v>
      </c>
      <c r="BR290" s="65">
        <f t="shared" si="1343"/>
        <v>0</v>
      </c>
      <c r="BS290" s="65">
        <f t="shared" si="1343"/>
        <v>3.18</v>
      </c>
      <c r="BT290" s="65">
        <f t="shared" si="1343"/>
        <v>0</v>
      </c>
      <c r="BU290" s="65">
        <f t="shared" si="1343"/>
        <v>2.42</v>
      </c>
      <c r="BV290" s="65">
        <f t="shared" si="1343"/>
        <v>0</v>
      </c>
      <c r="BW290" s="65">
        <f t="shared" si="1343"/>
        <v>0</v>
      </c>
      <c r="BX290" s="65">
        <f t="shared" si="1343"/>
        <v>0</v>
      </c>
      <c r="BY290" s="65">
        <f t="shared" si="1343"/>
        <v>0</v>
      </c>
      <c r="BZ290" s="65">
        <f t="shared" si="1343"/>
        <v>0</v>
      </c>
      <c r="CA290" s="65">
        <f t="shared" si="1343"/>
        <v>42.400000000000006</v>
      </c>
      <c r="CB290" s="65">
        <f t="shared" si="1343"/>
        <v>0</v>
      </c>
      <c r="CC290" s="65">
        <f t="shared" si="1343"/>
        <v>46.64</v>
      </c>
      <c r="CD290" s="65">
        <f t="shared" si="1343"/>
        <v>0</v>
      </c>
      <c r="CE290" s="65">
        <f t="shared" si="1343"/>
        <v>4</v>
      </c>
      <c r="CF290" s="65">
        <f t="shared" si="1343"/>
        <v>0</v>
      </c>
      <c r="CG290" s="65">
        <f t="shared" si="1343"/>
        <v>10.6</v>
      </c>
      <c r="CH290" s="129">
        <f t="shared" si="1343"/>
        <v>0</v>
      </c>
      <c r="CI290" s="65">
        <f t="shared" si="1343"/>
        <v>0</v>
      </c>
      <c r="CJ290" s="65">
        <f t="shared" si="1343"/>
        <v>0</v>
      </c>
      <c r="CK290" s="65">
        <f t="shared" si="1343"/>
        <v>12</v>
      </c>
      <c r="CL290" s="65">
        <f t="shared" si="1343"/>
        <v>0</v>
      </c>
      <c r="CM290" s="65">
        <f t="shared" si="1343"/>
        <v>0</v>
      </c>
      <c r="CN290" s="65">
        <f t="shared" si="1343"/>
        <v>0</v>
      </c>
      <c r="CO290" s="65">
        <f t="shared" si="1343"/>
        <v>0</v>
      </c>
      <c r="CP290" s="65">
        <f t="shared" si="1343"/>
        <v>0</v>
      </c>
      <c r="CQ290" s="65">
        <f t="shared" si="1343"/>
        <v>48</v>
      </c>
      <c r="CR290" s="65">
        <f t="shared" ref="CR290:DV290" si="1344">CR289</f>
        <v>0</v>
      </c>
      <c r="CS290" s="65">
        <f t="shared" si="1344"/>
        <v>48</v>
      </c>
      <c r="CT290" s="65">
        <f t="shared" si="1344"/>
        <v>0</v>
      </c>
      <c r="CU290" s="65">
        <f t="shared" si="1344"/>
        <v>48</v>
      </c>
      <c r="CV290" s="65">
        <f t="shared" si="1344"/>
        <v>0</v>
      </c>
      <c r="CW290" s="65">
        <f t="shared" si="1344"/>
        <v>12</v>
      </c>
      <c r="CX290" s="65">
        <f t="shared" si="1344"/>
        <v>0</v>
      </c>
      <c r="CY290" s="65">
        <f t="shared" si="1344"/>
        <v>0</v>
      </c>
      <c r="CZ290" s="65">
        <f t="shared" si="1344"/>
        <v>0</v>
      </c>
      <c r="DA290" s="65">
        <f t="shared" si="1344"/>
        <v>28</v>
      </c>
      <c r="DB290" s="65">
        <f t="shared" si="1344"/>
        <v>0</v>
      </c>
      <c r="DC290" s="65">
        <f t="shared" si="1344"/>
        <v>24.6</v>
      </c>
      <c r="DD290" s="65">
        <f t="shared" si="1344"/>
        <v>0</v>
      </c>
      <c r="DE290" s="65">
        <f t="shared" si="1344"/>
        <v>3.3999999999999986</v>
      </c>
      <c r="DF290" s="65">
        <f t="shared" si="1344"/>
        <v>0</v>
      </c>
      <c r="DG290" s="65">
        <f t="shared" si="1344"/>
        <v>11.09</v>
      </c>
      <c r="DH290" s="65">
        <f t="shared" si="1344"/>
        <v>0</v>
      </c>
      <c r="DI290" s="65">
        <f t="shared" si="1344"/>
        <v>7.6900000000000013</v>
      </c>
      <c r="DJ290" s="65">
        <f t="shared" si="1344"/>
        <v>0</v>
      </c>
      <c r="DK290" s="104">
        <f t="shared" si="1157"/>
        <v>8.6500000000000021</v>
      </c>
      <c r="DL290" s="104">
        <f t="shared" si="1158"/>
        <v>0</v>
      </c>
      <c r="DM290" s="104">
        <f t="shared" si="1246"/>
        <v>12.309999999999999</v>
      </c>
      <c r="DN290" s="104">
        <f t="shared" si="1247"/>
        <v>0</v>
      </c>
      <c r="DO290" s="65">
        <f t="shared" si="1344"/>
        <v>44.34</v>
      </c>
      <c r="DP290" s="65">
        <f t="shared" si="1344"/>
        <v>0</v>
      </c>
      <c r="DQ290" s="65">
        <f t="shared" si="1344"/>
        <v>50</v>
      </c>
      <c r="DR290" s="65">
        <f t="shared" si="1344"/>
        <v>0</v>
      </c>
      <c r="DS290" s="65">
        <f t="shared" si="1344"/>
        <v>0</v>
      </c>
      <c r="DT290" s="65">
        <f t="shared" si="1344"/>
        <v>0</v>
      </c>
      <c r="DU290" s="65">
        <f t="shared" si="1344"/>
        <v>0</v>
      </c>
      <c r="DV290" s="65">
        <f t="shared" si="1344"/>
        <v>0</v>
      </c>
    </row>
    <row r="291" spans="1:126" ht="37.5">
      <c r="A291" s="18">
        <v>1</v>
      </c>
      <c r="B291" s="18" t="s">
        <v>472</v>
      </c>
      <c r="C291" s="19" t="s">
        <v>40</v>
      </c>
      <c r="D291" s="20" t="s">
        <v>473</v>
      </c>
      <c r="E291" s="21" t="s">
        <v>474</v>
      </c>
      <c r="F291" s="81">
        <v>480.97</v>
      </c>
      <c r="G291" s="81">
        <v>0</v>
      </c>
      <c r="H291" s="81">
        <v>506.98</v>
      </c>
      <c r="I291" s="22">
        <v>0</v>
      </c>
      <c r="J291" s="106">
        <v>520</v>
      </c>
      <c r="K291" s="88"/>
      <c r="L291" s="88"/>
      <c r="M291" s="88">
        <f t="shared" ref="M291:M302" si="1345">+L291+K291+J291</f>
        <v>520</v>
      </c>
      <c r="N291" s="88"/>
      <c r="O291" s="88"/>
      <c r="P291" s="88"/>
      <c r="Q291" s="88">
        <f t="shared" ref="Q291:Q302" si="1346">+P291+O291+N291</f>
        <v>0</v>
      </c>
      <c r="R291" s="88">
        <f>Q291+M291</f>
        <v>520</v>
      </c>
      <c r="S291" s="88">
        <v>0</v>
      </c>
      <c r="V291" s="22">
        <f t="shared" ref="V291:V302" si="1347">ROUND(H291*1.0583,2)</f>
        <v>536.54</v>
      </c>
      <c r="W291" s="17">
        <f t="shared" ref="W291:W302" si="1348">ROUND(I291*1.0327,2)</f>
        <v>0</v>
      </c>
      <c r="X291" s="108">
        <f t="shared" si="1203"/>
        <v>-16.539999999999964</v>
      </c>
      <c r="Y291" s="108">
        <f t="shared" si="1204"/>
        <v>0</v>
      </c>
      <c r="Z291" s="108">
        <v>520</v>
      </c>
      <c r="AA291" s="108"/>
      <c r="AB291" s="108">
        <f t="shared" si="1205"/>
        <v>520</v>
      </c>
      <c r="AC291" s="109">
        <f t="shared" si="1206"/>
        <v>0</v>
      </c>
      <c r="AD291" s="88">
        <f t="shared" ref="AD291" si="1349">IF(X291&gt;0,V291,R291)</f>
        <v>520</v>
      </c>
      <c r="AE291" s="88">
        <f t="shared" ref="AE291" si="1350">IF(Y291&gt;0,W291,S291)</f>
        <v>0</v>
      </c>
      <c r="AF291" s="88">
        <f t="shared" si="1209"/>
        <v>0</v>
      </c>
      <c r="AG291" s="108">
        <f t="shared" si="1210"/>
        <v>130</v>
      </c>
      <c r="AH291" s="108">
        <f t="shared" si="1211"/>
        <v>0</v>
      </c>
      <c r="AI291" s="127">
        <f t="shared" si="1212"/>
        <v>43</v>
      </c>
      <c r="AJ291" s="108">
        <f t="shared" si="1213"/>
        <v>0</v>
      </c>
      <c r="AM291" s="108">
        <f t="shared" si="1214"/>
        <v>130</v>
      </c>
      <c r="AN291" s="108">
        <f t="shared" si="1215"/>
        <v>0</v>
      </c>
      <c r="AQ291" s="108">
        <f t="shared" si="1216"/>
        <v>260</v>
      </c>
      <c r="AR291" s="108">
        <f t="shared" si="1217"/>
        <v>0</v>
      </c>
      <c r="AU291" s="108">
        <f t="shared" si="1326"/>
        <v>130</v>
      </c>
      <c r="AV291" s="108">
        <f t="shared" si="1341"/>
        <v>0</v>
      </c>
      <c r="AY291" s="108">
        <f t="shared" si="1218"/>
        <v>433</v>
      </c>
      <c r="AZ291" s="108">
        <f t="shared" si="1219"/>
        <v>0</v>
      </c>
      <c r="BA291" s="108">
        <f t="shared" si="1220"/>
        <v>433</v>
      </c>
      <c r="BB291" s="139">
        <v>341.16</v>
      </c>
      <c r="BD291" s="139">
        <f t="shared" si="1221"/>
        <v>91.839999999999975</v>
      </c>
      <c r="BE291" s="139">
        <f t="shared" si="1222"/>
        <v>0</v>
      </c>
      <c r="BF291" s="139">
        <f t="shared" si="1223"/>
        <v>68.23</v>
      </c>
      <c r="BG291" s="139">
        <f t="shared" si="1224"/>
        <v>0</v>
      </c>
      <c r="BH291" s="108">
        <v>0</v>
      </c>
      <c r="BI291" s="108">
        <v>0</v>
      </c>
      <c r="BL291" s="108">
        <f t="shared" si="1244"/>
        <v>433</v>
      </c>
      <c r="BM291" s="108">
        <f t="shared" si="1262"/>
        <v>0</v>
      </c>
      <c r="BN291" s="108">
        <f t="shared" si="1263"/>
        <v>433</v>
      </c>
      <c r="BO291" s="108">
        <v>384.14</v>
      </c>
      <c r="BP291" s="127"/>
      <c r="BQ291" s="108">
        <f t="shared" si="1264"/>
        <v>48.860000000000014</v>
      </c>
      <c r="BR291" s="108">
        <f t="shared" si="1265"/>
        <v>0</v>
      </c>
      <c r="BS291" s="108">
        <f t="shared" si="1266"/>
        <v>34.92</v>
      </c>
      <c r="BT291" s="108">
        <f t="shared" si="1267"/>
        <v>0</v>
      </c>
      <c r="BU291" s="108">
        <v>0</v>
      </c>
      <c r="BV291" s="108">
        <v>0</v>
      </c>
      <c r="CA291" s="108">
        <v>433</v>
      </c>
      <c r="CB291" s="108">
        <v>0</v>
      </c>
      <c r="CC291">
        <v>476.3</v>
      </c>
      <c r="CD291">
        <v>0</v>
      </c>
      <c r="CE291" s="194">
        <v>40</v>
      </c>
      <c r="CF291" s="194">
        <v>5</v>
      </c>
      <c r="CG291" s="194">
        <f t="shared" si="1268"/>
        <v>108.25</v>
      </c>
      <c r="CH291" s="194">
        <f t="shared" si="1269"/>
        <v>0</v>
      </c>
      <c r="CI291" s="150"/>
      <c r="CJ291" s="150"/>
      <c r="CK291" s="150">
        <v>98</v>
      </c>
      <c r="CL291" s="150">
        <v>0</v>
      </c>
      <c r="CM291" s="150"/>
      <c r="CN291" s="150"/>
      <c r="CO291" s="150">
        <v>600</v>
      </c>
      <c r="CP291" s="150">
        <v>53</v>
      </c>
      <c r="CQ291" s="150">
        <f t="shared" si="1270"/>
        <v>392</v>
      </c>
      <c r="CR291" s="150">
        <f t="shared" si="1271"/>
        <v>0</v>
      </c>
      <c r="CS291" s="150">
        <f t="shared" si="1272"/>
        <v>392</v>
      </c>
      <c r="CT291" s="150">
        <f>IF(CP291&lt;CR291,CP291,CR291)+53</f>
        <v>53</v>
      </c>
      <c r="CU291" s="150">
        <f t="shared" ref="CU291:CU292" si="1351">IF(CQ291&lt;CS291,CQ291,CS291)</f>
        <v>392</v>
      </c>
      <c r="CV291" s="150">
        <f>IF(CR291&lt;CT291,CR291,CT291)+53</f>
        <v>53</v>
      </c>
      <c r="CW291" s="150">
        <f t="shared" si="1276"/>
        <v>98</v>
      </c>
      <c r="CX291" s="150">
        <f t="shared" si="1290"/>
        <v>13.25</v>
      </c>
      <c r="CY291" s="150"/>
      <c r="CZ291" s="150">
        <v>18</v>
      </c>
      <c r="DA291" s="150">
        <f t="shared" si="1277"/>
        <v>236</v>
      </c>
      <c r="DB291" s="150">
        <f t="shared" si="1278"/>
        <v>36.25</v>
      </c>
      <c r="DC291" s="150">
        <v>228.94</v>
      </c>
      <c r="DD291" s="150">
        <v>4.0599999999999996</v>
      </c>
      <c r="DE291" s="150">
        <f t="shared" si="1279"/>
        <v>7.0600000000000023</v>
      </c>
      <c r="DF291" s="150">
        <f t="shared" si="1280"/>
        <v>32.19</v>
      </c>
      <c r="DG291" s="150">
        <f t="shared" ref="DG291:DG307" si="1352">ROUND(0.25*(MIN(CU291,DO291)),2)</f>
        <v>89.39</v>
      </c>
      <c r="DH291" s="150">
        <f t="shared" ref="DH291:DH307" si="1353">ROUND(0.25*(MIN(CV291,DP291)),2)</f>
        <v>11.81</v>
      </c>
      <c r="DI291" s="150">
        <f t="shared" ref="DI291:DI307" si="1354">+DG291-DE291</f>
        <v>82.33</v>
      </c>
      <c r="DJ291" s="150">
        <f>+DH291-DF291+20.38</f>
        <v>0</v>
      </c>
      <c r="DK291" s="104">
        <f t="shared" si="1157"/>
        <v>39.230000000000004</v>
      </c>
      <c r="DL291" s="104">
        <f t="shared" si="1158"/>
        <v>10.979999999999997</v>
      </c>
      <c r="DM291" s="104">
        <f t="shared" si="1246"/>
        <v>73.67</v>
      </c>
      <c r="DN291" s="104">
        <f t="shared" si="1247"/>
        <v>16.75</v>
      </c>
      <c r="DO291" s="104">
        <v>357.56</v>
      </c>
      <c r="DP291" s="104">
        <v>47.23</v>
      </c>
      <c r="DQ291" s="104">
        <v>360</v>
      </c>
      <c r="DR291" s="104">
        <v>50</v>
      </c>
    </row>
    <row r="292" spans="1:126" ht="37.5">
      <c r="A292" s="18">
        <v>2</v>
      </c>
      <c r="B292" s="18" t="s">
        <v>475</v>
      </c>
      <c r="C292" s="19" t="s">
        <v>104</v>
      </c>
      <c r="D292" s="20" t="s">
        <v>476</v>
      </c>
      <c r="E292" s="21" t="s">
        <v>477</v>
      </c>
      <c r="F292" s="81">
        <v>9415.4599999999991</v>
      </c>
      <c r="G292" s="81">
        <v>15</v>
      </c>
      <c r="H292" s="81">
        <v>9515.4599999999991</v>
      </c>
      <c r="I292" s="22">
        <v>13.879999999999999</v>
      </c>
      <c r="J292" s="88">
        <v>9775</v>
      </c>
      <c r="K292" s="88"/>
      <c r="L292" s="88"/>
      <c r="M292" s="88">
        <f t="shared" si="1345"/>
        <v>9775</v>
      </c>
      <c r="N292" s="88"/>
      <c r="O292" s="88"/>
      <c r="P292" s="88"/>
      <c r="Q292" s="88">
        <f t="shared" si="1346"/>
        <v>0</v>
      </c>
      <c r="R292" s="88">
        <f t="shared" ref="R292:R302" si="1355">Q292+M292</f>
        <v>9775</v>
      </c>
      <c r="S292" s="88">
        <v>0</v>
      </c>
      <c r="V292" s="22">
        <f t="shared" si="1347"/>
        <v>10070.209999999999</v>
      </c>
      <c r="W292" s="17">
        <f t="shared" si="1348"/>
        <v>14.33</v>
      </c>
      <c r="X292" s="108">
        <f t="shared" si="1203"/>
        <v>-295.20999999999913</v>
      </c>
      <c r="Y292" s="108">
        <f t="shared" si="1204"/>
        <v>-14.33</v>
      </c>
      <c r="Z292" s="108">
        <v>9775</v>
      </c>
      <c r="AA292" s="108"/>
      <c r="AB292" s="108">
        <f t="shared" si="1205"/>
        <v>9775</v>
      </c>
      <c r="AC292" s="109">
        <f t="shared" si="1206"/>
        <v>0</v>
      </c>
      <c r="AD292" s="88">
        <f t="shared" ref="AD292:AD302" si="1356">IF(X292&gt;0,V292,R292)</f>
        <v>9775</v>
      </c>
      <c r="AE292" s="88">
        <f>IF(Y292&gt;0,W292,S292)+6</f>
        <v>6</v>
      </c>
      <c r="AF292" s="88">
        <f t="shared" si="1209"/>
        <v>0</v>
      </c>
      <c r="AG292" s="108">
        <f t="shared" si="1210"/>
        <v>2444</v>
      </c>
      <c r="AH292" s="108">
        <v>0</v>
      </c>
      <c r="AI292" s="127">
        <f t="shared" si="1212"/>
        <v>815</v>
      </c>
      <c r="AJ292" s="108">
        <v>0</v>
      </c>
      <c r="AM292" s="108">
        <f t="shared" si="1214"/>
        <v>2443.75</v>
      </c>
      <c r="AN292" s="108">
        <f>ROUND(AE292*24.35%,2)+1.54</f>
        <v>3</v>
      </c>
      <c r="AQ292" s="108">
        <f t="shared" si="1216"/>
        <v>4887.75</v>
      </c>
      <c r="AR292" s="108">
        <f t="shared" si="1217"/>
        <v>3</v>
      </c>
      <c r="AU292" s="108">
        <f t="shared" si="1326"/>
        <v>2443.75</v>
      </c>
      <c r="AV292" s="108">
        <f t="shared" si="1341"/>
        <v>1.5</v>
      </c>
      <c r="AY292" s="108">
        <f t="shared" si="1218"/>
        <v>8146.5</v>
      </c>
      <c r="AZ292" s="108">
        <f>+AR292+AT292+AV292+AX292+AJ292</f>
        <v>4.5</v>
      </c>
      <c r="BA292" s="108">
        <f t="shared" si="1220"/>
        <v>8151</v>
      </c>
      <c r="BB292" s="139">
        <v>7567.48</v>
      </c>
      <c r="BC292" s="139">
        <v>11.19</v>
      </c>
      <c r="BD292" s="139">
        <f t="shared" si="1221"/>
        <v>579.02000000000044</v>
      </c>
      <c r="BE292" s="139">
        <f t="shared" si="1222"/>
        <v>-6.6899999999999995</v>
      </c>
      <c r="BF292" s="139">
        <f t="shared" si="1223"/>
        <v>1513.5</v>
      </c>
      <c r="BG292" s="139">
        <f t="shared" si="1224"/>
        <v>2.2400000000000002</v>
      </c>
      <c r="BH292" s="108">
        <v>467.24</v>
      </c>
      <c r="BI292" s="109">
        <v>0</v>
      </c>
      <c r="BJ292" s="109">
        <v>1440</v>
      </c>
      <c r="BK292" s="109">
        <v>6.69</v>
      </c>
      <c r="BL292" s="108">
        <f t="shared" si="1244"/>
        <v>10053.74</v>
      </c>
      <c r="BM292" s="108">
        <f t="shared" si="1262"/>
        <v>11.190000000000001</v>
      </c>
      <c r="BN292" s="108">
        <f t="shared" si="1263"/>
        <v>10064.93</v>
      </c>
      <c r="BO292" s="108">
        <v>9936.26</v>
      </c>
      <c r="BP292" s="127">
        <v>11.19</v>
      </c>
      <c r="BQ292" s="108">
        <f t="shared" si="1264"/>
        <v>117.47999999999956</v>
      </c>
      <c r="BR292" s="108">
        <f t="shared" si="1265"/>
        <v>0</v>
      </c>
      <c r="BS292" s="108">
        <f t="shared" si="1266"/>
        <v>903.3</v>
      </c>
      <c r="BT292" s="108">
        <f t="shared" si="1267"/>
        <v>1.02</v>
      </c>
      <c r="BU292" s="108">
        <v>700</v>
      </c>
      <c r="BV292" s="108">
        <v>0</v>
      </c>
      <c r="BW292" s="109">
        <v>1746.26</v>
      </c>
      <c r="CA292" s="108">
        <v>12500</v>
      </c>
      <c r="CB292" s="108">
        <v>11.190000000000001</v>
      </c>
      <c r="CC292">
        <v>13750</v>
      </c>
      <c r="CD292">
        <v>12.87</v>
      </c>
      <c r="CE292" s="194">
        <v>1146</v>
      </c>
      <c r="CF292" s="194">
        <v>0</v>
      </c>
      <c r="CG292" s="194">
        <f t="shared" si="1268"/>
        <v>3125</v>
      </c>
      <c r="CH292" s="194">
        <f t="shared" si="1269"/>
        <v>2.8</v>
      </c>
      <c r="CI292" s="150"/>
      <c r="CJ292" s="150"/>
      <c r="CK292" s="150">
        <f>3100-100-100</f>
        <v>2900</v>
      </c>
      <c r="CL292" s="150">
        <v>0</v>
      </c>
      <c r="CM292" s="150"/>
      <c r="CN292" s="150"/>
      <c r="CO292" s="150">
        <v>11200</v>
      </c>
      <c r="CP292" s="150">
        <v>0</v>
      </c>
      <c r="CQ292" s="150">
        <f t="shared" si="1270"/>
        <v>11600</v>
      </c>
      <c r="CR292" s="150">
        <f t="shared" si="1271"/>
        <v>0</v>
      </c>
      <c r="CS292" s="150">
        <f t="shared" si="1272"/>
        <v>11200</v>
      </c>
      <c r="CT292" s="150">
        <f t="shared" si="1273"/>
        <v>0</v>
      </c>
      <c r="CU292" s="150">
        <f t="shared" si="1351"/>
        <v>11200</v>
      </c>
      <c r="CV292" s="150">
        <f t="shared" ref="CV292" si="1357">IF(CR292&lt;CT292,CR292,CT292)</f>
        <v>0</v>
      </c>
      <c r="CW292" s="150">
        <f t="shared" si="1276"/>
        <v>2800</v>
      </c>
      <c r="CX292" s="150">
        <f t="shared" si="1290"/>
        <v>0</v>
      </c>
      <c r="CY292" s="150"/>
      <c r="CZ292" s="150"/>
      <c r="DA292" s="150">
        <f t="shared" si="1277"/>
        <v>6846</v>
      </c>
      <c r="DB292" s="150">
        <f t="shared" si="1278"/>
        <v>0</v>
      </c>
      <c r="DC292" s="150">
        <v>5029.2999999999993</v>
      </c>
      <c r="DD292" s="150">
        <v>0</v>
      </c>
      <c r="DE292" s="150">
        <f t="shared" si="1279"/>
        <v>1816.7000000000007</v>
      </c>
      <c r="DF292" s="150">
        <f t="shared" si="1280"/>
        <v>0</v>
      </c>
      <c r="DG292" s="150">
        <f t="shared" si="1352"/>
        <v>2800</v>
      </c>
      <c r="DH292" s="150">
        <f t="shared" si="1353"/>
        <v>0</v>
      </c>
      <c r="DI292" s="150">
        <f>+DG292-DE292+1816.7</f>
        <v>2799.9999999999991</v>
      </c>
      <c r="DJ292" s="150">
        <f>+DH292-DF292</f>
        <v>0</v>
      </c>
      <c r="DK292" s="104">
        <f t="shared" si="1157"/>
        <v>1554.0000000000009</v>
      </c>
      <c r="DL292" s="104">
        <f t="shared" si="1158"/>
        <v>0</v>
      </c>
      <c r="DM292" s="104">
        <f t="shared" si="1246"/>
        <v>1554.0000000000009</v>
      </c>
      <c r="DN292" s="104">
        <f t="shared" si="1247"/>
        <v>0</v>
      </c>
      <c r="DO292" s="104">
        <v>11200</v>
      </c>
      <c r="DP292" s="104">
        <v>0</v>
      </c>
      <c r="DQ292" s="104">
        <v>11000</v>
      </c>
      <c r="DR292" s="104">
        <v>0</v>
      </c>
    </row>
    <row r="293" spans="1:126" ht="37.5">
      <c r="A293" s="18">
        <v>3</v>
      </c>
      <c r="B293" s="18" t="s">
        <v>478</v>
      </c>
      <c r="C293" s="19" t="s">
        <v>85</v>
      </c>
      <c r="D293" s="20" t="s">
        <v>479</v>
      </c>
      <c r="E293" s="21" t="s">
        <v>480</v>
      </c>
      <c r="F293" s="81">
        <v>8140.9999999999982</v>
      </c>
      <c r="G293" s="81">
        <v>0.90999999999999992</v>
      </c>
      <c r="H293" s="81">
        <v>8140.9999999999982</v>
      </c>
      <c r="I293" s="22">
        <v>0.90999999999999992</v>
      </c>
      <c r="J293" s="88">
        <v>8000</v>
      </c>
      <c r="K293" s="88"/>
      <c r="L293" s="88"/>
      <c r="M293" s="88">
        <f t="shared" si="1345"/>
        <v>8000</v>
      </c>
      <c r="N293" s="88"/>
      <c r="O293" s="88"/>
      <c r="P293" s="88"/>
      <c r="Q293" s="88">
        <f t="shared" si="1346"/>
        <v>0</v>
      </c>
      <c r="R293" s="88">
        <f t="shared" si="1355"/>
        <v>8000</v>
      </c>
      <c r="S293" s="88">
        <v>1</v>
      </c>
      <c r="V293" s="22">
        <f t="shared" si="1347"/>
        <v>8615.6200000000008</v>
      </c>
      <c r="W293" s="17">
        <f t="shared" si="1348"/>
        <v>0.94</v>
      </c>
      <c r="X293" s="108">
        <f t="shared" si="1203"/>
        <v>-615.6200000000008</v>
      </c>
      <c r="Y293" s="108">
        <f t="shared" si="1204"/>
        <v>6.0000000000000053E-2</v>
      </c>
      <c r="Z293" s="108">
        <v>8000</v>
      </c>
      <c r="AA293" s="108"/>
      <c r="AB293" s="108">
        <f t="shared" si="1205"/>
        <v>8000</v>
      </c>
      <c r="AC293" s="109">
        <f t="shared" si="1206"/>
        <v>0</v>
      </c>
      <c r="AD293" s="88">
        <f t="shared" si="1356"/>
        <v>8000</v>
      </c>
      <c r="AE293" s="88">
        <f t="shared" ref="AE293:AE302" si="1358">IF(Y293&gt;0,W293,S293)</f>
        <v>0.94</v>
      </c>
      <c r="AF293" s="88">
        <f t="shared" si="1209"/>
        <v>0.9</v>
      </c>
      <c r="AG293" s="108">
        <f t="shared" si="1210"/>
        <v>2000</v>
      </c>
      <c r="AH293" s="108">
        <f t="shared" si="1211"/>
        <v>0</v>
      </c>
      <c r="AI293" s="127">
        <f t="shared" si="1212"/>
        <v>667</v>
      </c>
      <c r="AJ293" s="108">
        <f t="shared" si="1213"/>
        <v>0</v>
      </c>
      <c r="AM293" s="108">
        <f t="shared" si="1214"/>
        <v>2000</v>
      </c>
      <c r="AN293" s="108">
        <f t="shared" si="1215"/>
        <v>0.23</v>
      </c>
      <c r="AQ293" s="108">
        <f t="shared" si="1216"/>
        <v>4000</v>
      </c>
      <c r="AR293" s="108">
        <f t="shared" si="1217"/>
        <v>0.23</v>
      </c>
      <c r="AU293" s="108">
        <f t="shared" si="1326"/>
        <v>2000</v>
      </c>
      <c r="AV293" s="108">
        <f t="shared" si="1341"/>
        <v>0.24</v>
      </c>
      <c r="AY293" s="108">
        <f t="shared" si="1218"/>
        <v>6667</v>
      </c>
      <c r="AZ293" s="108">
        <f t="shared" si="1219"/>
        <v>0.47</v>
      </c>
      <c r="BA293" s="108">
        <f t="shared" si="1220"/>
        <v>6667.47</v>
      </c>
      <c r="BB293" s="139">
        <v>6575.8499999999995</v>
      </c>
      <c r="BD293" s="139">
        <f t="shared" si="1221"/>
        <v>91.150000000000546</v>
      </c>
      <c r="BE293" s="139">
        <f t="shared" si="1222"/>
        <v>0.47</v>
      </c>
      <c r="BF293" s="139">
        <f t="shared" si="1223"/>
        <v>1315.17</v>
      </c>
      <c r="BG293" s="139">
        <f t="shared" si="1224"/>
        <v>0</v>
      </c>
      <c r="BH293" s="108">
        <v>612.01</v>
      </c>
      <c r="BI293" s="108">
        <v>0</v>
      </c>
      <c r="BJ293" s="108">
        <v>1395.84</v>
      </c>
      <c r="BL293" s="108">
        <f t="shared" si="1244"/>
        <v>8674.85</v>
      </c>
      <c r="BM293" s="108">
        <f t="shared" si="1262"/>
        <v>0.47</v>
      </c>
      <c r="BN293" s="108">
        <f t="shared" si="1263"/>
        <v>8675.32</v>
      </c>
      <c r="BO293" s="108">
        <v>8565.1</v>
      </c>
      <c r="BP293" s="127"/>
      <c r="BQ293" s="108">
        <f t="shared" si="1264"/>
        <v>109.75</v>
      </c>
      <c r="BR293" s="108">
        <f t="shared" si="1265"/>
        <v>0.47</v>
      </c>
      <c r="BS293" s="108">
        <f t="shared" si="1266"/>
        <v>778.65</v>
      </c>
      <c r="BT293" s="108">
        <f t="shared" si="1267"/>
        <v>0</v>
      </c>
      <c r="BU293" s="108">
        <v>600</v>
      </c>
      <c r="BV293" s="108">
        <v>0</v>
      </c>
      <c r="BW293" s="109">
        <f>120.99+200</f>
        <v>320.99</v>
      </c>
      <c r="CA293" s="108">
        <v>9595.84</v>
      </c>
      <c r="CB293" s="108">
        <v>0.47</v>
      </c>
      <c r="CC293">
        <v>10555.42</v>
      </c>
      <c r="CD293">
        <v>0.54</v>
      </c>
      <c r="CE293" s="194">
        <v>880</v>
      </c>
      <c r="CF293" s="194">
        <v>0</v>
      </c>
      <c r="CG293" s="194">
        <f t="shared" si="1268"/>
        <v>2398.96</v>
      </c>
      <c r="CH293" s="194">
        <f t="shared" si="1269"/>
        <v>0.12</v>
      </c>
      <c r="CI293" s="150"/>
      <c r="CJ293" s="150"/>
      <c r="CK293" s="150">
        <f>2150-100</f>
        <v>2050</v>
      </c>
      <c r="CL293" s="150">
        <v>0</v>
      </c>
      <c r="CM293" s="150"/>
      <c r="CN293" s="150"/>
      <c r="CO293" s="150">
        <v>10000</v>
      </c>
      <c r="CP293" s="150">
        <v>0</v>
      </c>
      <c r="CQ293" s="150">
        <f t="shared" si="1270"/>
        <v>8200</v>
      </c>
      <c r="CR293" s="150">
        <f t="shared" si="1271"/>
        <v>0</v>
      </c>
      <c r="CS293" s="150">
        <f t="shared" si="1272"/>
        <v>8200</v>
      </c>
      <c r="CT293" s="150">
        <f t="shared" si="1273"/>
        <v>0</v>
      </c>
      <c r="CU293" s="150">
        <v>9100</v>
      </c>
      <c r="CV293" s="150">
        <v>0</v>
      </c>
      <c r="CW293" s="150">
        <f t="shared" si="1276"/>
        <v>2275</v>
      </c>
      <c r="CX293" s="150">
        <f t="shared" si="1290"/>
        <v>0</v>
      </c>
      <c r="CY293" s="150"/>
      <c r="CZ293" s="150"/>
      <c r="DA293" s="150">
        <f t="shared" si="1277"/>
        <v>5205</v>
      </c>
      <c r="DB293" s="150">
        <f t="shared" si="1278"/>
        <v>0</v>
      </c>
      <c r="DC293" s="150">
        <v>4817.7700000000004</v>
      </c>
      <c r="DD293" s="150"/>
      <c r="DE293" s="150">
        <f t="shared" si="1279"/>
        <v>387.22999999999956</v>
      </c>
      <c r="DF293" s="150">
        <f t="shared" si="1280"/>
        <v>0</v>
      </c>
      <c r="DG293" s="150">
        <f t="shared" si="1352"/>
        <v>1950</v>
      </c>
      <c r="DH293" s="150">
        <f t="shared" si="1353"/>
        <v>0</v>
      </c>
      <c r="DI293" s="150">
        <f t="shared" si="1354"/>
        <v>1562.7700000000004</v>
      </c>
      <c r="DJ293" s="150">
        <f>+DH293-DF293</f>
        <v>0</v>
      </c>
      <c r="DK293" s="104">
        <f t="shared" si="1157"/>
        <v>1032.2299999999996</v>
      </c>
      <c r="DL293" s="104">
        <f t="shared" si="1158"/>
        <v>0</v>
      </c>
      <c r="DM293" s="104">
        <f t="shared" si="1246"/>
        <v>2332.2299999999996</v>
      </c>
      <c r="DN293" s="104">
        <f t="shared" si="1247"/>
        <v>0</v>
      </c>
      <c r="DO293" s="104">
        <v>7800</v>
      </c>
      <c r="DP293" s="104">
        <v>0</v>
      </c>
      <c r="DQ293" s="104">
        <v>9800</v>
      </c>
      <c r="DR293" s="104">
        <v>0</v>
      </c>
    </row>
    <row r="294" spans="1:126" s="126" customFormat="1" ht="37.5">
      <c r="A294" s="162">
        <v>4</v>
      </c>
      <c r="B294" s="162" t="s">
        <v>481</v>
      </c>
      <c r="C294" s="163" t="s">
        <v>45</v>
      </c>
      <c r="D294" s="7" t="s">
        <v>482</v>
      </c>
      <c r="E294" s="8" t="s">
        <v>483</v>
      </c>
      <c r="F294" s="81">
        <v>12057.369999999999</v>
      </c>
      <c r="G294" s="81">
        <v>1.01</v>
      </c>
      <c r="H294" s="81">
        <v>12057.369999999999</v>
      </c>
      <c r="I294" s="119">
        <v>1.01</v>
      </c>
      <c r="J294" s="164">
        <v>11500</v>
      </c>
      <c r="K294" s="164"/>
      <c r="L294" s="164"/>
      <c r="M294" s="164">
        <f t="shared" si="1345"/>
        <v>11500</v>
      </c>
      <c r="N294" s="164"/>
      <c r="O294" s="164"/>
      <c r="P294" s="164"/>
      <c r="Q294" s="164">
        <f t="shared" si="1346"/>
        <v>0</v>
      </c>
      <c r="R294" s="164">
        <f t="shared" si="1355"/>
        <v>11500</v>
      </c>
      <c r="S294" s="164">
        <v>1</v>
      </c>
      <c r="V294" s="119">
        <f t="shared" si="1347"/>
        <v>12760.31</v>
      </c>
      <c r="W294" s="123">
        <f t="shared" si="1348"/>
        <v>1.04</v>
      </c>
      <c r="X294" s="109">
        <f t="shared" si="1203"/>
        <v>-1260.3099999999995</v>
      </c>
      <c r="Y294" s="109">
        <f t="shared" si="1204"/>
        <v>-4.0000000000000036E-2</v>
      </c>
      <c r="Z294" s="109">
        <v>11500</v>
      </c>
      <c r="AA294" s="109"/>
      <c r="AB294" s="109">
        <f t="shared" si="1205"/>
        <v>11500</v>
      </c>
      <c r="AC294" s="109">
        <f t="shared" si="1206"/>
        <v>0</v>
      </c>
      <c r="AD294" s="164">
        <f t="shared" si="1356"/>
        <v>11500</v>
      </c>
      <c r="AE294" s="164">
        <f t="shared" si="1358"/>
        <v>1</v>
      </c>
      <c r="AF294" s="164">
        <f t="shared" si="1209"/>
        <v>0.9</v>
      </c>
      <c r="AG294" s="109">
        <f t="shared" si="1210"/>
        <v>2875</v>
      </c>
      <c r="AH294" s="109">
        <f t="shared" si="1211"/>
        <v>0</v>
      </c>
      <c r="AI294" s="131">
        <f t="shared" si="1212"/>
        <v>958</v>
      </c>
      <c r="AJ294" s="109">
        <f t="shared" si="1213"/>
        <v>0</v>
      </c>
      <c r="AK294" s="109"/>
      <c r="AL294" s="109"/>
      <c r="AM294" s="109">
        <f t="shared" si="1214"/>
        <v>2875</v>
      </c>
      <c r="AN294" s="109">
        <f t="shared" si="1215"/>
        <v>0.24</v>
      </c>
      <c r="AO294" s="109"/>
      <c r="AP294" s="109"/>
      <c r="AQ294" s="165">
        <f t="shared" si="1216"/>
        <v>5750</v>
      </c>
      <c r="AR294" s="165">
        <f t="shared" si="1217"/>
        <v>0.24</v>
      </c>
      <c r="AS294" s="165"/>
      <c r="AT294" s="165"/>
      <c r="AU294" s="165">
        <f t="shared" si="1326"/>
        <v>2875</v>
      </c>
      <c r="AV294" s="165">
        <f>ROUND(AE294*25%,2)-0.25</f>
        <v>0</v>
      </c>
      <c r="AW294" s="165"/>
      <c r="AX294" s="165"/>
      <c r="AY294" s="165">
        <f t="shared" si="1218"/>
        <v>9583</v>
      </c>
      <c r="AZ294" s="109">
        <f t="shared" si="1219"/>
        <v>0.24</v>
      </c>
      <c r="BA294" s="109">
        <f t="shared" si="1220"/>
        <v>9583.24</v>
      </c>
      <c r="BB294" s="149">
        <v>9440.4499999999989</v>
      </c>
      <c r="BC294" s="149"/>
      <c r="BD294" s="149">
        <f t="shared" si="1221"/>
        <v>142.55000000000109</v>
      </c>
      <c r="BE294" s="149">
        <f t="shared" si="1222"/>
        <v>0.24</v>
      </c>
      <c r="BF294" s="149">
        <f t="shared" si="1223"/>
        <v>1888.09</v>
      </c>
      <c r="BG294" s="149">
        <f t="shared" si="1224"/>
        <v>0</v>
      </c>
      <c r="BH294" s="109">
        <v>872.77</v>
      </c>
      <c r="BI294" s="109">
        <v>0</v>
      </c>
      <c r="BJ294" s="109">
        <v>4958.76</v>
      </c>
      <c r="BK294" s="109"/>
      <c r="BL294" s="109">
        <f t="shared" si="1244"/>
        <v>15414.53</v>
      </c>
      <c r="BM294" s="109">
        <f t="shared" si="1262"/>
        <v>0.24</v>
      </c>
      <c r="BN294" s="109">
        <f t="shared" si="1263"/>
        <v>15414.77</v>
      </c>
      <c r="BO294" s="109">
        <v>13867.35</v>
      </c>
      <c r="BP294" s="131"/>
      <c r="BQ294" s="109">
        <f t="shared" si="1264"/>
        <v>1547.1800000000003</v>
      </c>
      <c r="BR294" s="109">
        <f t="shared" si="1265"/>
        <v>0.24</v>
      </c>
      <c r="BS294" s="109">
        <f t="shared" si="1266"/>
        <v>1260.67</v>
      </c>
      <c r="BT294" s="109">
        <f t="shared" si="1267"/>
        <v>0</v>
      </c>
      <c r="BU294" s="109">
        <v>0</v>
      </c>
      <c r="BV294" s="109">
        <v>0</v>
      </c>
      <c r="BW294" s="109">
        <v>938</v>
      </c>
      <c r="BX294" s="109">
        <v>8.76</v>
      </c>
      <c r="BY294" s="109"/>
      <c r="BZ294" s="109"/>
      <c r="CA294" s="108">
        <v>16352.53</v>
      </c>
      <c r="CB294" s="108">
        <v>9</v>
      </c>
      <c r="CC294">
        <v>17987.78</v>
      </c>
      <c r="CD294">
        <v>10.35</v>
      </c>
      <c r="CE294" s="194">
        <v>1499</v>
      </c>
      <c r="CF294" s="194">
        <v>1</v>
      </c>
      <c r="CG294" s="194">
        <f t="shared" si="1268"/>
        <v>4088.13</v>
      </c>
      <c r="CH294" s="194">
        <f t="shared" si="1269"/>
        <v>2.25</v>
      </c>
      <c r="CI294" s="150"/>
      <c r="CJ294" s="150"/>
      <c r="CK294" s="150">
        <f>4200-100-100-200</f>
        <v>3800</v>
      </c>
      <c r="CL294" s="150">
        <v>23</v>
      </c>
      <c r="CM294" s="150"/>
      <c r="CN294" s="150"/>
      <c r="CO294" s="150">
        <v>13500</v>
      </c>
      <c r="CP294" s="150">
        <v>110</v>
      </c>
      <c r="CQ294" s="150">
        <f t="shared" si="1270"/>
        <v>15200</v>
      </c>
      <c r="CR294" s="150">
        <f t="shared" si="1271"/>
        <v>92</v>
      </c>
      <c r="CS294" s="150">
        <f t="shared" si="1272"/>
        <v>13500</v>
      </c>
      <c r="CT294" s="150">
        <f t="shared" si="1273"/>
        <v>92</v>
      </c>
      <c r="CU294" s="150">
        <f t="shared" ref="CU294:CU297" si="1359">IF(CQ294&lt;CS294,CQ294,CS294)</f>
        <v>13500</v>
      </c>
      <c r="CV294" s="150">
        <f t="shared" ref="CV294:CV298" si="1360">IF(CR294&lt;CT294,CR294,CT294)</f>
        <v>92</v>
      </c>
      <c r="CW294" s="150">
        <f t="shared" si="1276"/>
        <v>3375</v>
      </c>
      <c r="CX294" s="150">
        <f t="shared" si="1290"/>
        <v>23</v>
      </c>
      <c r="CY294" s="150"/>
      <c r="CZ294" s="150"/>
      <c r="DA294" s="150">
        <f t="shared" si="1277"/>
        <v>8674</v>
      </c>
      <c r="DB294" s="150">
        <f t="shared" si="1278"/>
        <v>47</v>
      </c>
      <c r="DC294" s="150">
        <v>8613.4599999999991</v>
      </c>
      <c r="DD294" s="150">
        <v>23</v>
      </c>
      <c r="DE294" s="150">
        <f t="shared" si="1279"/>
        <v>60.540000000000873</v>
      </c>
      <c r="DF294" s="150">
        <f t="shared" si="1280"/>
        <v>24</v>
      </c>
      <c r="DG294" s="150">
        <f t="shared" si="1352"/>
        <v>3300.23</v>
      </c>
      <c r="DH294" s="150">
        <f t="shared" si="1353"/>
        <v>23</v>
      </c>
      <c r="DI294" s="150">
        <f t="shared" si="1354"/>
        <v>3239.6899999999991</v>
      </c>
      <c r="DJ294" s="150">
        <f>+DH294-DF294+1</f>
        <v>0</v>
      </c>
      <c r="DK294" s="104">
        <f t="shared" si="1157"/>
        <v>1287.2100000000005</v>
      </c>
      <c r="DL294" s="104">
        <f t="shared" si="1158"/>
        <v>63</v>
      </c>
      <c r="DM294" s="104">
        <f t="shared" si="1246"/>
        <v>1586.3100000000009</v>
      </c>
      <c r="DN294" s="104">
        <f t="shared" si="1247"/>
        <v>45</v>
      </c>
      <c r="DO294" s="180">
        <v>13200.9</v>
      </c>
      <c r="DP294" s="180">
        <v>110</v>
      </c>
      <c r="DQ294" s="180">
        <v>15000</v>
      </c>
      <c r="DR294" s="180">
        <v>2</v>
      </c>
    </row>
    <row r="295" spans="1:126" s="126" customFormat="1" ht="37.5">
      <c r="A295" s="162">
        <v>5</v>
      </c>
      <c r="B295" s="162" t="s">
        <v>484</v>
      </c>
      <c r="C295" s="163" t="s">
        <v>208</v>
      </c>
      <c r="D295" s="7" t="s">
        <v>485</v>
      </c>
      <c r="E295" s="8" t="s">
        <v>486</v>
      </c>
      <c r="F295" s="81">
        <v>6792.91</v>
      </c>
      <c r="G295" s="81">
        <v>0</v>
      </c>
      <c r="H295" s="81">
        <v>6792.91</v>
      </c>
      <c r="I295" s="119">
        <v>0</v>
      </c>
      <c r="J295" s="164">
        <v>8000</v>
      </c>
      <c r="K295" s="164"/>
      <c r="L295" s="164"/>
      <c r="M295" s="164">
        <f t="shared" si="1345"/>
        <v>8000</v>
      </c>
      <c r="N295" s="164"/>
      <c r="O295" s="164"/>
      <c r="P295" s="164"/>
      <c r="Q295" s="164">
        <f t="shared" si="1346"/>
        <v>0</v>
      </c>
      <c r="R295" s="164">
        <f t="shared" si="1355"/>
        <v>8000</v>
      </c>
      <c r="S295" s="164">
        <v>0</v>
      </c>
      <c r="V295" s="119">
        <f t="shared" si="1347"/>
        <v>7188.94</v>
      </c>
      <c r="W295" s="123">
        <f t="shared" si="1348"/>
        <v>0</v>
      </c>
      <c r="X295" s="109">
        <f t="shared" si="1203"/>
        <v>811.0600000000004</v>
      </c>
      <c r="Y295" s="109">
        <f t="shared" si="1204"/>
        <v>0</v>
      </c>
      <c r="Z295" s="109">
        <v>7588.94</v>
      </c>
      <c r="AA295" s="109"/>
      <c r="AB295" s="109">
        <f t="shared" si="1205"/>
        <v>7588.94</v>
      </c>
      <c r="AC295" s="109">
        <f t="shared" si="1206"/>
        <v>0</v>
      </c>
      <c r="AD295" s="111">
        <f>IF(X295&gt;0,V295,R295)+400</f>
        <v>7588.94</v>
      </c>
      <c r="AE295" s="164">
        <f t="shared" si="1358"/>
        <v>0</v>
      </c>
      <c r="AF295" s="164">
        <f t="shared" si="1209"/>
        <v>0</v>
      </c>
      <c r="AG295" s="109">
        <f t="shared" si="1210"/>
        <v>1897</v>
      </c>
      <c r="AH295" s="109">
        <f t="shared" si="1211"/>
        <v>0</v>
      </c>
      <c r="AI295" s="131">
        <f t="shared" si="1212"/>
        <v>632</v>
      </c>
      <c r="AJ295" s="109">
        <f t="shared" si="1213"/>
        <v>0</v>
      </c>
      <c r="AK295" s="109"/>
      <c r="AL295" s="109"/>
      <c r="AM295" s="109">
        <f t="shared" si="1214"/>
        <v>1897.24</v>
      </c>
      <c r="AN295" s="109">
        <f t="shared" si="1215"/>
        <v>0</v>
      </c>
      <c r="AO295" s="109"/>
      <c r="AP295" s="109"/>
      <c r="AQ295" s="109">
        <f t="shared" si="1216"/>
        <v>3794.24</v>
      </c>
      <c r="AR295" s="109">
        <f t="shared" si="1217"/>
        <v>0</v>
      </c>
      <c r="AS295" s="109"/>
      <c r="AT295" s="109"/>
      <c r="AU295" s="109">
        <f t="shared" si="1326"/>
        <v>1897.24</v>
      </c>
      <c r="AV295" s="109">
        <f>ROUND(AE295*25%,2)</f>
        <v>0</v>
      </c>
      <c r="AW295" s="109"/>
      <c r="AX295" s="109"/>
      <c r="AY295" s="109">
        <f t="shared" si="1218"/>
        <v>6323.48</v>
      </c>
      <c r="AZ295" s="109">
        <f t="shared" si="1219"/>
        <v>0</v>
      </c>
      <c r="BA295" s="109">
        <f t="shared" si="1220"/>
        <v>6323.48</v>
      </c>
      <c r="BB295" s="149">
        <v>6163.63</v>
      </c>
      <c r="BC295" s="149"/>
      <c r="BD295" s="149">
        <f t="shared" si="1221"/>
        <v>159.84999999999945</v>
      </c>
      <c r="BE295" s="149">
        <f t="shared" si="1222"/>
        <v>0</v>
      </c>
      <c r="BF295" s="149">
        <f t="shared" si="1223"/>
        <v>1232.73</v>
      </c>
      <c r="BG295" s="149">
        <f t="shared" si="1224"/>
        <v>0</v>
      </c>
      <c r="BH295" s="109">
        <v>536.44000000000005</v>
      </c>
      <c r="BI295" s="109">
        <v>0</v>
      </c>
      <c r="BJ295" s="109">
        <v>2418.35</v>
      </c>
      <c r="BK295" s="109"/>
      <c r="BL295" s="109">
        <f t="shared" si="1244"/>
        <v>9278.27</v>
      </c>
      <c r="BM295" s="109">
        <f t="shared" si="1262"/>
        <v>0</v>
      </c>
      <c r="BN295" s="109">
        <f t="shared" si="1263"/>
        <v>9278.27</v>
      </c>
      <c r="BO295" s="109">
        <v>8587.7000000000007</v>
      </c>
      <c r="BP295" s="131"/>
      <c r="BQ295" s="109">
        <f t="shared" si="1264"/>
        <v>690.56999999999971</v>
      </c>
      <c r="BR295" s="109">
        <f t="shared" si="1265"/>
        <v>0</v>
      </c>
      <c r="BS295" s="109">
        <f t="shared" si="1266"/>
        <v>780.7</v>
      </c>
      <c r="BT295" s="109">
        <f t="shared" si="1267"/>
        <v>0</v>
      </c>
      <c r="BU295" s="109">
        <f>ROUND(BS295-BQ295,2)</f>
        <v>90.13</v>
      </c>
      <c r="BV295" s="109">
        <v>0</v>
      </c>
      <c r="BW295" s="116">
        <v>380</v>
      </c>
      <c r="BX295" s="109"/>
      <c r="BY295" s="109"/>
      <c r="BZ295" s="109"/>
      <c r="CA295" s="108">
        <v>9748.4</v>
      </c>
      <c r="CB295" s="108">
        <v>0</v>
      </c>
      <c r="CC295">
        <v>10723.24</v>
      </c>
      <c r="CD295">
        <v>0</v>
      </c>
      <c r="CE295" s="194">
        <v>894</v>
      </c>
      <c r="CF295" s="194">
        <v>0</v>
      </c>
      <c r="CG295" s="194">
        <f t="shared" si="1268"/>
        <v>2437.1</v>
      </c>
      <c r="CH295" s="194">
        <f t="shared" si="1269"/>
        <v>0</v>
      </c>
      <c r="CI295" s="150"/>
      <c r="CJ295" s="150"/>
      <c r="CK295" s="150">
        <f>2623-100-123</f>
        <v>2400</v>
      </c>
      <c r="CL295" s="150">
        <v>0</v>
      </c>
      <c r="CM295" s="150"/>
      <c r="CN295" s="150"/>
      <c r="CO295" s="150">
        <v>9789.39</v>
      </c>
      <c r="CP295" s="150"/>
      <c r="CQ295" s="150">
        <f t="shared" si="1270"/>
        <v>9600</v>
      </c>
      <c r="CR295" s="150">
        <f t="shared" si="1271"/>
        <v>0</v>
      </c>
      <c r="CS295" s="150">
        <f t="shared" si="1272"/>
        <v>9600</v>
      </c>
      <c r="CT295" s="150">
        <f t="shared" si="1273"/>
        <v>0</v>
      </c>
      <c r="CU295" s="150">
        <f t="shared" si="1359"/>
        <v>9600</v>
      </c>
      <c r="CV295" s="150">
        <f t="shared" si="1360"/>
        <v>0</v>
      </c>
      <c r="CW295" s="150">
        <f t="shared" si="1276"/>
        <v>2400</v>
      </c>
      <c r="CX295" s="150">
        <f t="shared" si="1290"/>
        <v>0</v>
      </c>
      <c r="CY295" s="150"/>
      <c r="CZ295" s="150"/>
      <c r="DA295" s="150">
        <f t="shared" si="1277"/>
        <v>5694</v>
      </c>
      <c r="DB295" s="150">
        <f t="shared" si="1278"/>
        <v>0</v>
      </c>
      <c r="DC295" s="150">
        <v>5506.71</v>
      </c>
      <c r="DD295" s="150">
        <v>0</v>
      </c>
      <c r="DE295" s="150">
        <f t="shared" si="1279"/>
        <v>187.28999999999996</v>
      </c>
      <c r="DF295" s="150">
        <f t="shared" si="1280"/>
        <v>0</v>
      </c>
      <c r="DG295" s="150">
        <f t="shared" si="1352"/>
        <v>2400</v>
      </c>
      <c r="DH295" s="150">
        <f t="shared" si="1353"/>
        <v>0</v>
      </c>
      <c r="DI295" s="150">
        <f t="shared" si="1354"/>
        <v>2212.71</v>
      </c>
      <c r="DJ295" s="150">
        <f>+DH295-DF295</f>
        <v>0</v>
      </c>
      <c r="DK295" s="104">
        <f t="shared" si="1157"/>
        <v>1882.6799999999994</v>
      </c>
      <c r="DL295" s="104">
        <f t="shared" si="1158"/>
        <v>0</v>
      </c>
      <c r="DM295" s="104">
        <f t="shared" si="1246"/>
        <v>1693.29</v>
      </c>
      <c r="DN295" s="104">
        <f t="shared" si="1247"/>
        <v>0</v>
      </c>
      <c r="DO295" s="180">
        <v>9789.39</v>
      </c>
      <c r="DP295" s="180">
        <v>0</v>
      </c>
      <c r="DQ295" s="180">
        <v>11257.8</v>
      </c>
      <c r="DR295" s="180">
        <v>0</v>
      </c>
    </row>
    <row r="296" spans="1:126" s="126" customFormat="1" ht="37.5">
      <c r="A296" s="162">
        <v>6</v>
      </c>
      <c r="B296" s="162" t="s">
        <v>487</v>
      </c>
      <c r="C296" s="163" t="s">
        <v>18</v>
      </c>
      <c r="D296" s="7" t="s">
        <v>488</v>
      </c>
      <c r="E296" s="8" t="s">
        <v>489</v>
      </c>
      <c r="F296" s="81">
        <v>7739.75</v>
      </c>
      <c r="G296" s="81">
        <v>2.29</v>
      </c>
      <c r="H296" s="81">
        <v>7739.75</v>
      </c>
      <c r="I296" s="119">
        <v>2.29</v>
      </c>
      <c r="J296" s="164">
        <v>7100</v>
      </c>
      <c r="K296" s="164"/>
      <c r="L296" s="164"/>
      <c r="M296" s="164">
        <f t="shared" si="1345"/>
        <v>7100</v>
      </c>
      <c r="N296" s="164"/>
      <c r="O296" s="164"/>
      <c r="P296" s="164"/>
      <c r="Q296" s="164">
        <f t="shared" si="1346"/>
        <v>0</v>
      </c>
      <c r="R296" s="164">
        <f t="shared" si="1355"/>
        <v>7100</v>
      </c>
      <c r="S296" s="164">
        <v>75</v>
      </c>
      <c r="V296" s="119">
        <f t="shared" si="1347"/>
        <v>8190.98</v>
      </c>
      <c r="W296" s="123">
        <f t="shared" si="1348"/>
        <v>2.36</v>
      </c>
      <c r="X296" s="109">
        <f t="shared" si="1203"/>
        <v>-1090.9799999999996</v>
      </c>
      <c r="Y296" s="109">
        <f t="shared" si="1204"/>
        <v>72.64</v>
      </c>
      <c r="Z296" s="109">
        <v>7100</v>
      </c>
      <c r="AA296" s="109"/>
      <c r="AB296" s="109">
        <f t="shared" si="1205"/>
        <v>7100</v>
      </c>
      <c r="AC296" s="109">
        <f t="shared" si="1206"/>
        <v>0</v>
      </c>
      <c r="AD296" s="164">
        <f t="shared" si="1356"/>
        <v>7100</v>
      </c>
      <c r="AE296" s="164">
        <f t="shared" si="1358"/>
        <v>2.36</v>
      </c>
      <c r="AF296" s="164">
        <f t="shared" si="1209"/>
        <v>67.67</v>
      </c>
      <c r="AG296" s="109">
        <f t="shared" si="1210"/>
        <v>1775</v>
      </c>
      <c r="AH296" s="109">
        <f t="shared" si="1211"/>
        <v>1</v>
      </c>
      <c r="AI296" s="131">
        <f t="shared" si="1212"/>
        <v>592</v>
      </c>
      <c r="AJ296" s="109">
        <f t="shared" si="1213"/>
        <v>0</v>
      </c>
      <c r="AK296" s="109"/>
      <c r="AL296" s="109"/>
      <c r="AM296" s="109">
        <f t="shared" si="1214"/>
        <v>1775</v>
      </c>
      <c r="AN296" s="109">
        <f t="shared" si="1215"/>
        <v>0.56999999999999995</v>
      </c>
      <c r="AO296" s="109"/>
      <c r="AP296" s="109"/>
      <c r="AQ296" s="109">
        <f t="shared" si="1216"/>
        <v>3550</v>
      </c>
      <c r="AR296" s="109">
        <f t="shared" si="1217"/>
        <v>1.5699999999999998</v>
      </c>
      <c r="AS296" s="109"/>
      <c r="AT296" s="109"/>
      <c r="AU296" s="109">
        <f t="shared" si="1326"/>
        <v>1775</v>
      </c>
      <c r="AV296" s="109">
        <f t="shared" ref="AV296:AV307" si="1361">ROUND(AE296*25%,2)</f>
        <v>0.59</v>
      </c>
      <c r="AW296" s="109">
        <v>28.6</v>
      </c>
      <c r="AX296" s="109">
        <v>20</v>
      </c>
      <c r="AY296" s="109">
        <f t="shared" si="1218"/>
        <v>5945.6</v>
      </c>
      <c r="AZ296" s="109">
        <f t="shared" si="1219"/>
        <v>22.16</v>
      </c>
      <c r="BA296" s="109">
        <f t="shared" si="1220"/>
        <v>5967.76</v>
      </c>
      <c r="BB296" s="149">
        <v>5695.07</v>
      </c>
      <c r="BC296" s="149">
        <v>48.53</v>
      </c>
      <c r="BD296" s="149">
        <f t="shared" si="1221"/>
        <v>250.53000000000065</v>
      </c>
      <c r="BE296" s="149">
        <f t="shared" si="1222"/>
        <v>-26.37</v>
      </c>
      <c r="BF296" s="149">
        <f t="shared" si="1223"/>
        <v>1139.01</v>
      </c>
      <c r="BG296" s="149">
        <f t="shared" si="1224"/>
        <v>9.7100000000000009</v>
      </c>
      <c r="BH296" s="109">
        <v>444.24</v>
      </c>
      <c r="BI296" s="109">
        <v>20.29</v>
      </c>
      <c r="BJ296" s="109">
        <v>2223.1999999999998</v>
      </c>
      <c r="BK296" s="109"/>
      <c r="BL296" s="109">
        <f t="shared" si="1244"/>
        <v>8613.0400000000009</v>
      </c>
      <c r="BM296" s="109">
        <f t="shared" si="1262"/>
        <v>42.45</v>
      </c>
      <c r="BN296" s="109">
        <f t="shared" si="1263"/>
        <v>8655.4900000000016</v>
      </c>
      <c r="BO296" s="109">
        <v>5865.42</v>
      </c>
      <c r="BP296" s="131">
        <v>19.95</v>
      </c>
      <c r="BQ296" s="166">
        <f t="shared" si="1264"/>
        <v>2747.6200000000008</v>
      </c>
      <c r="BR296" s="109">
        <f t="shared" si="1265"/>
        <v>22.500000000000004</v>
      </c>
      <c r="BS296" s="109">
        <f t="shared" si="1266"/>
        <v>533.22</v>
      </c>
      <c r="BT296" s="109">
        <f t="shared" si="1267"/>
        <v>1.81</v>
      </c>
      <c r="BU296" s="109">
        <v>0</v>
      </c>
      <c r="BV296" s="109">
        <v>0</v>
      </c>
      <c r="BW296" s="109">
        <v>710.16</v>
      </c>
      <c r="BX296" s="109"/>
      <c r="BY296" s="109"/>
      <c r="BZ296" s="109"/>
      <c r="CA296" s="108">
        <v>9323.2000000000007</v>
      </c>
      <c r="CB296" s="108">
        <v>42.45</v>
      </c>
      <c r="CC296">
        <v>10255.52</v>
      </c>
      <c r="CD296">
        <v>48.82</v>
      </c>
      <c r="CE296" s="194">
        <v>855</v>
      </c>
      <c r="CF296" s="194">
        <v>4</v>
      </c>
      <c r="CG296" s="194">
        <f t="shared" si="1268"/>
        <v>2330.8000000000002</v>
      </c>
      <c r="CH296" s="194">
        <f t="shared" si="1269"/>
        <v>10.61</v>
      </c>
      <c r="CI296" s="150"/>
      <c r="CJ296" s="150"/>
      <c r="CK296" s="150">
        <f>2100-100</f>
        <v>2000</v>
      </c>
      <c r="CL296" s="150">
        <v>0</v>
      </c>
      <c r="CM296" s="150"/>
      <c r="CN296" s="150"/>
      <c r="CO296" s="150">
        <v>8300</v>
      </c>
      <c r="CP296" s="150">
        <v>25</v>
      </c>
      <c r="CQ296" s="150">
        <f t="shared" si="1270"/>
        <v>8000</v>
      </c>
      <c r="CR296" s="150">
        <f>ROUND(CL296/3*12,2)+4</f>
        <v>4</v>
      </c>
      <c r="CS296" s="150">
        <f t="shared" si="1272"/>
        <v>8000</v>
      </c>
      <c r="CT296" s="150">
        <f t="shared" si="1273"/>
        <v>4</v>
      </c>
      <c r="CU296" s="150">
        <f t="shared" si="1359"/>
        <v>8000</v>
      </c>
      <c r="CV296" s="150">
        <f>IF(CR296&lt;CT296,CR296,CT296)+34</f>
        <v>38</v>
      </c>
      <c r="CW296" s="150">
        <f t="shared" si="1276"/>
        <v>2000</v>
      </c>
      <c r="CX296" s="150">
        <f>ROUND(CV296*25%,2)-9.5</f>
        <v>0</v>
      </c>
      <c r="CY296" s="150"/>
      <c r="CZ296" s="150">
        <v>34</v>
      </c>
      <c r="DA296" s="150">
        <f t="shared" si="1277"/>
        <v>4855</v>
      </c>
      <c r="DB296" s="150">
        <f t="shared" si="1278"/>
        <v>38</v>
      </c>
      <c r="DC296" s="150">
        <v>4263.8899999999994</v>
      </c>
      <c r="DD296" s="150">
        <v>33.92</v>
      </c>
      <c r="DE296" s="150">
        <f t="shared" si="1279"/>
        <v>591.11000000000058</v>
      </c>
      <c r="DF296" s="150">
        <f t="shared" si="1280"/>
        <v>4.0799999999999983</v>
      </c>
      <c r="DG296" s="150">
        <f t="shared" si="1352"/>
        <v>2000</v>
      </c>
      <c r="DH296" s="150">
        <f t="shared" si="1353"/>
        <v>9</v>
      </c>
      <c r="DI296" s="150">
        <f t="shared" si="1354"/>
        <v>1408.8899999999994</v>
      </c>
      <c r="DJ296" s="150">
        <f>+DH296-DF296-4.92</f>
        <v>0</v>
      </c>
      <c r="DK296" s="104">
        <f t="shared" si="1157"/>
        <v>1936.1100000000006</v>
      </c>
      <c r="DL296" s="104">
        <f t="shared" si="1158"/>
        <v>-2</v>
      </c>
      <c r="DM296" s="104">
        <f t="shared" si="1246"/>
        <v>1736.1100000000006</v>
      </c>
      <c r="DN296" s="104">
        <f t="shared" si="1247"/>
        <v>0</v>
      </c>
      <c r="DO296" s="180">
        <v>8200</v>
      </c>
      <c r="DP296" s="185">
        <v>36</v>
      </c>
      <c r="DQ296" s="180">
        <v>9000</v>
      </c>
      <c r="DR296" s="180">
        <v>0</v>
      </c>
    </row>
    <row r="297" spans="1:126" ht="37.5">
      <c r="A297" s="18">
        <v>7</v>
      </c>
      <c r="B297" s="18" t="s">
        <v>490</v>
      </c>
      <c r="C297" s="19" t="s">
        <v>279</v>
      </c>
      <c r="D297" s="20" t="s">
        <v>491</v>
      </c>
      <c r="E297" s="21" t="s">
        <v>492</v>
      </c>
      <c r="F297" s="81">
        <v>6328.9599999999991</v>
      </c>
      <c r="G297" s="81">
        <v>0</v>
      </c>
      <c r="H297" s="81">
        <v>6743.9999999999991</v>
      </c>
      <c r="I297" s="22">
        <v>0</v>
      </c>
      <c r="J297" s="88">
        <v>500</v>
      </c>
      <c r="K297" s="88"/>
      <c r="L297" s="88"/>
      <c r="M297" s="88">
        <f t="shared" si="1345"/>
        <v>500</v>
      </c>
      <c r="N297" s="88">
        <v>6200</v>
      </c>
      <c r="O297" s="88"/>
      <c r="P297" s="88"/>
      <c r="Q297" s="88">
        <f t="shared" si="1346"/>
        <v>6200</v>
      </c>
      <c r="R297" s="88">
        <f t="shared" si="1355"/>
        <v>6700</v>
      </c>
      <c r="S297" s="88">
        <v>0</v>
      </c>
      <c r="V297" s="22">
        <f t="shared" si="1347"/>
        <v>7137.18</v>
      </c>
      <c r="W297" s="17">
        <f t="shared" si="1348"/>
        <v>0</v>
      </c>
      <c r="X297" s="108">
        <f t="shared" si="1203"/>
        <v>-437.18000000000029</v>
      </c>
      <c r="Y297" s="108">
        <f t="shared" si="1204"/>
        <v>0</v>
      </c>
      <c r="Z297" s="108">
        <v>500</v>
      </c>
      <c r="AA297" s="108">
        <v>6200</v>
      </c>
      <c r="AB297" s="108">
        <f t="shared" si="1205"/>
        <v>6700</v>
      </c>
      <c r="AC297" s="109">
        <f t="shared" si="1206"/>
        <v>0</v>
      </c>
      <c r="AD297" s="88">
        <f t="shared" si="1356"/>
        <v>6700</v>
      </c>
      <c r="AE297" s="88">
        <f t="shared" si="1358"/>
        <v>0</v>
      </c>
      <c r="AF297" s="88">
        <f t="shared" si="1209"/>
        <v>0</v>
      </c>
      <c r="AG297" s="108">
        <f t="shared" si="1210"/>
        <v>1675</v>
      </c>
      <c r="AH297" s="108">
        <f t="shared" si="1211"/>
        <v>0</v>
      </c>
      <c r="AI297" s="127">
        <f t="shared" si="1212"/>
        <v>558</v>
      </c>
      <c r="AJ297" s="108">
        <f t="shared" si="1213"/>
        <v>0</v>
      </c>
      <c r="AM297" s="108">
        <f t="shared" si="1214"/>
        <v>1675</v>
      </c>
      <c r="AN297" s="108">
        <f t="shared" si="1215"/>
        <v>0</v>
      </c>
      <c r="AQ297" s="108">
        <f t="shared" si="1216"/>
        <v>3350</v>
      </c>
      <c r="AR297" s="108">
        <f t="shared" si="1217"/>
        <v>0</v>
      </c>
      <c r="AU297" s="108">
        <f t="shared" si="1326"/>
        <v>1675</v>
      </c>
      <c r="AV297" s="116">
        <f t="shared" si="1361"/>
        <v>0</v>
      </c>
      <c r="AW297" s="116"/>
      <c r="AX297" s="143">
        <v>30</v>
      </c>
      <c r="AY297" s="108">
        <f t="shared" si="1218"/>
        <v>5583</v>
      </c>
      <c r="AZ297" s="108">
        <f t="shared" si="1219"/>
        <v>30</v>
      </c>
      <c r="BA297" s="108">
        <f t="shared" si="1220"/>
        <v>5613</v>
      </c>
      <c r="BB297" s="139">
        <v>5550</v>
      </c>
      <c r="BD297" s="139">
        <f t="shared" si="1221"/>
        <v>33</v>
      </c>
      <c r="BE297" s="139">
        <f t="shared" si="1222"/>
        <v>30</v>
      </c>
      <c r="BF297" s="139">
        <f t="shared" si="1223"/>
        <v>1110</v>
      </c>
      <c r="BG297" s="139">
        <f t="shared" si="1224"/>
        <v>0</v>
      </c>
      <c r="BH297" s="108">
        <v>538.5</v>
      </c>
      <c r="BI297" s="108">
        <v>0</v>
      </c>
      <c r="BJ297" s="108">
        <v>662.44</v>
      </c>
      <c r="BL297" s="108">
        <f t="shared" si="1244"/>
        <v>6783.9400000000005</v>
      </c>
      <c r="BM297" s="108">
        <f t="shared" si="1262"/>
        <v>30</v>
      </c>
      <c r="BN297" s="108">
        <f t="shared" si="1263"/>
        <v>6813.9400000000005</v>
      </c>
      <c r="BO297" s="108">
        <v>6588</v>
      </c>
      <c r="BP297" s="127"/>
      <c r="BQ297" s="108">
        <f t="shared" si="1264"/>
        <v>195.94000000000051</v>
      </c>
      <c r="BR297" s="108">
        <f t="shared" si="1265"/>
        <v>30</v>
      </c>
      <c r="BS297" s="108">
        <f t="shared" si="1266"/>
        <v>598.91</v>
      </c>
      <c r="BT297" s="108">
        <f t="shared" si="1267"/>
        <v>0</v>
      </c>
      <c r="BU297" s="108">
        <f>ROUND(BS297-BQ297,2)</f>
        <v>402.97</v>
      </c>
      <c r="BV297" s="108">
        <v>0</v>
      </c>
      <c r="BW297" s="109">
        <f>165.61+50</f>
        <v>215.61</v>
      </c>
      <c r="CA297" s="108">
        <v>7402.52</v>
      </c>
      <c r="CB297" s="108">
        <v>30</v>
      </c>
      <c r="CC297">
        <v>8142.77</v>
      </c>
      <c r="CD297">
        <v>34.5</v>
      </c>
      <c r="CE297" s="194">
        <v>679</v>
      </c>
      <c r="CF297" s="194">
        <v>0</v>
      </c>
      <c r="CG297" s="194">
        <f t="shared" si="1268"/>
        <v>1850.63</v>
      </c>
      <c r="CH297" s="194">
        <f t="shared" si="1269"/>
        <v>7.5</v>
      </c>
      <c r="CI297" s="150"/>
      <c r="CJ297" s="150"/>
      <c r="CK297" s="150">
        <f>1950-100-150</f>
        <v>1700</v>
      </c>
      <c r="CL297" s="150">
        <v>18.5</v>
      </c>
      <c r="CM297" s="150"/>
      <c r="CN297" s="150"/>
      <c r="CO297" s="150">
        <v>7800</v>
      </c>
      <c r="CP297" s="150">
        <f>0+18.5</f>
        <v>18.5</v>
      </c>
      <c r="CQ297" s="150">
        <f t="shared" si="1270"/>
        <v>6800</v>
      </c>
      <c r="CR297" s="150">
        <f t="shared" si="1271"/>
        <v>74</v>
      </c>
      <c r="CS297" s="150">
        <f t="shared" si="1272"/>
        <v>6800</v>
      </c>
      <c r="CT297" s="150">
        <f t="shared" si="1273"/>
        <v>18.5</v>
      </c>
      <c r="CU297" s="150">
        <f t="shared" si="1359"/>
        <v>6800</v>
      </c>
      <c r="CV297" s="150">
        <f t="shared" si="1360"/>
        <v>18.5</v>
      </c>
      <c r="CW297" s="150">
        <f t="shared" si="1276"/>
        <v>1700</v>
      </c>
      <c r="CX297" s="150">
        <f>ROUND(CV297*25%,2)-4.63</f>
        <v>0</v>
      </c>
      <c r="CY297" s="150"/>
      <c r="CZ297" s="150"/>
      <c r="DA297" s="150">
        <f t="shared" si="1277"/>
        <v>4079</v>
      </c>
      <c r="DB297" s="150">
        <f t="shared" si="1278"/>
        <v>18.5</v>
      </c>
      <c r="DC297" s="150">
        <v>4075.62</v>
      </c>
      <c r="DD297" s="150">
        <v>0</v>
      </c>
      <c r="DE297" s="150">
        <f t="shared" si="1279"/>
        <v>3.3800000000001091</v>
      </c>
      <c r="DF297" s="150">
        <f t="shared" si="1280"/>
        <v>18.5</v>
      </c>
      <c r="DG297" s="150">
        <f t="shared" si="1352"/>
        <v>1700</v>
      </c>
      <c r="DH297" s="150">
        <f t="shared" si="1353"/>
        <v>4.63</v>
      </c>
      <c r="DI297" s="150">
        <f t="shared" si="1354"/>
        <v>1696.62</v>
      </c>
      <c r="DJ297" s="150">
        <f>+DH297-DF297+13.87</f>
        <v>0</v>
      </c>
      <c r="DK297" s="104">
        <f t="shared" si="1157"/>
        <v>1424.38</v>
      </c>
      <c r="DL297" s="104">
        <f t="shared" si="1158"/>
        <v>0.17999999999999972</v>
      </c>
      <c r="DM297" s="104">
        <f t="shared" si="1246"/>
        <v>1024.3800000000001</v>
      </c>
      <c r="DN297" s="104">
        <f t="shared" si="1247"/>
        <v>0</v>
      </c>
      <c r="DO297" s="104">
        <v>7200</v>
      </c>
      <c r="DP297" s="104">
        <v>18.68</v>
      </c>
      <c r="DQ297" s="104">
        <v>7200</v>
      </c>
      <c r="DR297" s="104">
        <v>0</v>
      </c>
    </row>
    <row r="298" spans="1:126" ht="37.5">
      <c r="A298" s="18">
        <v>8</v>
      </c>
      <c r="B298" s="18" t="s">
        <v>493</v>
      </c>
      <c r="C298" s="19" t="s">
        <v>317</v>
      </c>
      <c r="D298" s="20" t="s">
        <v>494</v>
      </c>
      <c r="E298" s="21" t="s">
        <v>495</v>
      </c>
      <c r="F298" s="81">
        <v>6066.5099999999993</v>
      </c>
      <c r="G298" s="81">
        <v>48.65</v>
      </c>
      <c r="H298" s="81">
        <v>6066.5099999999993</v>
      </c>
      <c r="I298" s="22">
        <v>48.65</v>
      </c>
      <c r="J298" s="88">
        <v>0</v>
      </c>
      <c r="K298" s="88"/>
      <c r="L298" s="88"/>
      <c r="M298" s="88">
        <f t="shared" si="1345"/>
        <v>0</v>
      </c>
      <c r="N298" s="88">
        <v>6945.5429999999997</v>
      </c>
      <c r="O298" s="88"/>
      <c r="P298" s="88"/>
      <c r="Q298" s="88">
        <f t="shared" si="1346"/>
        <v>6945.5429999999997</v>
      </c>
      <c r="R298" s="88">
        <f t="shared" si="1355"/>
        <v>6945.5429999999997</v>
      </c>
      <c r="S298" s="88">
        <v>30</v>
      </c>
      <c r="V298" s="22">
        <f t="shared" si="1347"/>
        <v>6420.19</v>
      </c>
      <c r="W298" s="17">
        <f t="shared" si="1348"/>
        <v>50.24</v>
      </c>
      <c r="X298" s="108">
        <f t="shared" si="1203"/>
        <v>525.35300000000007</v>
      </c>
      <c r="Y298" s="108">
        <f t="shared" si="1204"/>
        <v>-20.240000000000002</v>
      </c>
      <c r="Z298" s="108">
        <v>0</v>
      </c>
      <c r="AA298" s="108">
        <v>6420.19</v>
      </c>
      <c r="AB298" s="108">
        <f t="shared" si="1205"/>
        <v>6420.19</v>
      </c>
      <c r="AC298" s="109">
        <f t="shared" si="1206"/>
        <v>0</v>
      </c>
      <c r="AD298" s="88">
        <f t="shared" si="1356"/>
        <v>6420.19</v>
      </c>
      <c r="AE298" s="88">
        <f t="shared" si="1358"/>
        <v>30</v>
      </c>
      <c r="AF298" s="88">
        <f t="shared" si="1209"/>
        <v>27.07</v>
      </c>
      <c r="AG298" s="108">
        <f t="shared" si="1210"/>
        <v>1605</v>
      </c>
      <c r="AH298" s="108">
        <f t="shared" si="1211"/>
        <v>8</v>
      </c>
      <c r="AI298" s="127">
        <f t="shared" si="1212"/>
        <v>535</v>
      </c>
      <c r="AJ298" s="108">
        <v>0</v>
      </c>
      <c r="AM298" s="108">
        <f t="shared" si="1214"/>
        <v>1605.05</v>
      </c>
      <c r="AN298" s="108">
        <f t="shared" si="1215"/>
        <v>7.31</v>
      </c>
      <c r="AQ298" s="108">
        <f t="shared" si="1216"/>
        <v>3210.05</v>
      </c>
      <c r="AR298" s="108">
        <f t="shared" si="1217"/>
        <v>15.309999999999999</v>
      </c>
      <c r="AU298" s="108">
        <f t="shared" si="1326"/>
        <v>1605.05</v>
      </c>
      <c r="AV298" s="116">
        <f t="shared" si="1361"/>
        <v>7.5</v>
      </c>
      <c r="AW298" s="116"/>
      <c r="AX298" s="116"/>
      <c r="AY298" s="108">
        <f t="shared" si="1218"/>
        <v>5350.1</v>
      </c>
      <c r="AZ298" s="108">
        <f t="shared" si="1219"/>
        <v>22.81</v>
      </c>
      <c r="BA298" s="108">
        <f t="shared" si="1220"/>
        <v>5372.9100000000008</v>
      </c>
      <c r="BB298" s="139">
        <v>5297.56</v>
      </c>
      <c r="BC298" s="139">
        <v>25.05</v>
      </c>
      <c r="BD298" s="139">
        <f t="shared" si="1221"/>
        <v>52.539999999999964</v>
      </c>
      <c r="BE298" s="139">
        <f t="shared" si="1222"/>
        <v>-2.240000000000002</v>
      </c>
      <c r="BF298" s="139">
        <f t="shared" si="1223"/>
        <v>1059.51</v>
      </c>
      <c r="BG298" s="139">
        <f t="shared" si="1224"/>
        <v>5.01</v>
      </c>
      <c r="BH298" s="108">
        <v>503.49</v>
      </c>
      <c r="BI298" s="108">
        <v>3.6</v>
      </c>
      <c r="BJ298" s="108">
        <v>163.66</v>
      </c>
      <c r="BL298" s="108">
        <f t="shared" si="1244"/>
        <v>6017.25</v>
      </c>
      <c r="BM298" s="108">
        <f t="shared" si="1262"/>
        <v>26.41</v>
      </c>
      <c r="BN298" s="108">
        <f t="shared" si="1263"/>
        <v>6043.66</v>
      </c>
      <c r="BO298" s="108">
        <v>5849.44</v>
      </c>
      <c r="BP298" s="127">
        <v>25.05</v>
      </c>
      <c r="BQ298" s="108">
        <f t="shared" si="1264"/>
        <v>167.8100000000004</v>
      </c>
      <c r="BR298" s="108">
        <f t="shared" si="1265"/>
        <v>1.3599999999999994</v>
      </c>
      <c r="BS298" s="108">
        <f t="shared" si="1266"/>
        <v>531.77</v>
      </c>
      <c r="BT298" s="108">
        <f t="shared" si="1267"/>
        <v>2.2799999999999998</v>
      </c>
      <c r="BU298" s="108">
        <f t="shared" si="1297"/>
        <v>363.95999999999958</v>
      </c>
      <c r="BV298" s="108">
        <v>0</v>
      </c>
      <c r="BW298" s="109">
        <f>279.42+40.92</f>
        <v>320.34000000000003</v>
      </c>
      <c r="CA298" s="108">
        <v>6701.5499999999993</v>
      </c>
      <c r="CB298" s="108">
        <v>26.41</v>
      </c>
      <c r="CC298">
        <v>7371.71</v>
      </c>
      <c r="CD298">
        <v>30.37</v>
      </c>
      <c r="CE298" s="194">
        <v>614</v>
      </c>
      <c r="CF298" s="194">
        <v>3</v>
      </c>
      <c r="CG298" s="194">
        <f t="shared" si="1268"/>
        <v>1675.39</v>
      </c>
      <c r="CH298" s="194">
        <f t="shared" si="1269"/>
        <v>6.6</v>
      </c>
      <c r="CI298" s="150"/>
      <c r="CJ298" s="150"/>
      <c r="CK298" s="150">
        <f>1593-100</f>
        <v>1493</v>
      </c>
      <c r="CL298" s="150">
        <v>0</v>
      </c>
      <c r="CM298" s="150"/>
      <c r="CN298" s="150"/>
      <c r="CO298" s="150">
        <v>8000</v>
      </c>
      <c r="CP298" s="150">
        <v>30</v>
      </c>
      <c r="CQ298" s="150">
        <f t="shared" si="1270"/>
        <v>5972</v>
      </c>
      <c r="CR298" s="150">
        <f>ROUND(CL298/3*12,2)+3</f>
        <v>3</v>
      </c>
      <c r="CS298" s="150">
        <f t="shared" si="1272"/>
        <v>5972</v>
      </c>
      <c r="CT298" s="150">
        <f t="shared" si="1273"/>
        <v>3</v>
      </c>
      <c r="CU298" s="150">
        <f>IF(CQ298&lt;CS298,CQ298,CS298)+1598</f>
        <v>7570</v>
      </c>
      <c r="CV298" s="150">
        <f t="shared" si="1360"/>
        <v>3</v>
      </c>
      <c r="CW298" s="150">
        <f>ROUND(CU298*25%,2)-399.5</f>
        <v>1493</v>
      </c>
      <c r="CX298" s="150">
        <f>ROUND(CV298*25%,2)-0.75</f>
        <v>0</v>
      </c>
      <c r="CY298" s="150">
        <v>436.24</v>
      </c>
      <c r="CZ298" s="150"/>
      <c r="DA298" s="150">
        <f t="shared" si="1277"/>
        <v>4036.24</v>
      </c>
      <c r="DB298" s="150">
        <f t="shared" si="1278"/>
        <v>3</v>
      </c>
      <c r="DC298" s="150">
        <v>4038.42</v>
      </c>
      <c r="DD298" s="150"/>
      <c r="DE298" s="150">
        <f t="shared" si="1279"/>
        <v>-2.180000000000291</v>
      </c>
      <c r="DF298" s="150">
        <f t="shared" si="1280"/>
        <v>3</v>
      </c>
      <c r="DG298" s="150">
        <f t="shared" si="1352"/>
        <v>1892.5</v>
      </c>
      <c r="DH298" s="150">
        <f t="shared" si="1353"/>
        <v>0</v>
      </c>
      <c r="DI298" s="150">
        <f t="shared" si="1354"/>
        <v>1894.6800000000003</v>
      </c>
      <c r="DJ298" s="150">
        <f>+DH298-DF298+3</f>
        <v>0</v>
      </c>
      <c r="DK298" s="104">
        <f t="shared" si="1157"/>
        <v>1639.08</v>
      </c>
      <c r="DL298" s="104">
        <f t="shared" si="1158"/>
        <v>-3</v>
      </c>
      <c r="DM298" s="104">
        <f t="shared" si="1246"/>
        <v>1639.08</v>
      </c>
      <c r="DN298" s="104">
        <f t="shared" si="1247"/>
        <v>0</v>
      </c>
      <c r="DO298" s="104">
        <v>7570</v>
      </c>
      <c r="DP298" s="178">
        <v>0</v>
      </c>
      <c r="DQ298" s="104">
        <v>8010</v>
      </c>
      <c r="DR298" s="104">
        <v>0</v>
      </c>
    </row>
    <row r="299" spans="1:126" ht="37.5">
      <c r="A299" s="18">
        <v>9</v>
      </c>
      <c r="B299" s="18" t="s">
        <v>496</v>
      </c>
      <c r="C299" s="19" t="s">
        <v>13</v>
      </c>
      <c r="D299" s="20" t="s">
        <v>497</v>
      </c>
      <c r="E299" s="21" t="s">
        <v>498</v>
      </c>
      <c r="F299" s="81">
        <v>10237.170000000002</v>
      </c>
      <c r="G299" s="81">
        <v>0</v>
      </c>
      <c r="H299" s="81">
        <v>11584.000000000002</v>
      </c>
      <c r="I299" s="22">
        <v>0</v>
      </c>
      <c r="J299" s="88">
        <v>10421.379999999999</v>
      </c>
      <c r="K299" s="88"/>
      <c r="L299" s="88"/>
      <c r="M299" s="88">
        <f t="shared" si="1345"/>
        <v>10421.379999999999</v>
      </c>
      <c r="N299" s="88"/>
      <c r="O299" s="88"/>
      <c r="P299" s="88"/>
      <c r="Q299" s="88">
        <f t="shared" si="1346"/>
        <v>0</v>
      </c>
      <c r="R299" s="88">
        <f t="shared" si="1355"/>
        <v>10421.379999999999</v>
      </c>
      <c r="S299" s="88"/>
      <c r="V299" s="22">
        <f t="shared" si="1347"/>
        <v>12259.35</v>
      </c>
      <c r="W299" s="17">
        <f t="shared" si="1348"/>
        <v>0</v>
      </c>
      <c r="X299" s="108">
        <f t="shared" si="1203"/>
        <v>-1837.9700000000012</v>
      </c>
      <c r="Y299" s="108">
        <f t="shared" si="1204"/>
        <v>0</v>
      </c>
      <c r="Z299" s="108">
        <v>10421.379999999999</v>
      </c>
      <c r="AA299" s="108"/>
      <c r="AB299" s="108">
        <f t="shared" si="1205"/>
        <v>10421.379999999999</v>
      </c>
      <c r="AC299" s="109">
        <f t="shared" si="1206"/>
        <v>0</v>
      </c>
      <c r="AD299" s="88">
        <f t="shared" si="1356"/>
        <v>10421.379999999999</v>
      </c>
      <c r="AE299" s="88">
        <f t="shared" si="1358"/>
        <v>0</v>
      </c>
      <c r="AF299" s="88">
        <f t="shared" si="1209"/>
        <v>0</v>
      </c>
      <c r="AG299" s="108">
        <f t="shared" si="1210"/>
        <v>2605</v>
      </c>
      <c r="AH299" s="108">
        <f t="shared" si="1211"/>
        <v>0</v>
      </c>
      <c r="AI299" s="127">
        <f t="shared" si="1212"/>
        <v>868</v>
      </c>
      <c r="AJ299" s="108">
        <v>3</v>
      </c>
      <c r="AM299" s="108">
        <f t="shared" si="1214"/>
        <v>2605.35</v>
      </c>
      <c r="AN299" s="108">
        <f t="shared" si="1215"/>
        <v>0</v>
      </c>
      <c r="AQ299" s="108">
        <f t="shared" si="1216"/>
        <v>5210.3500000000004</v>
      </c>
      <c r="AR299" s="108">
        <f t="shared" si="1217"/>
        <v>0</v>
      </c>
      <c r="AU299" s="108">
        <f t="shared" si="1326"/>
        <v>2605.35</v>
      </c>
      <c r="AV299" s="108">
        <f t="shared" si="1361"/>
        <v>0</v>
      </c>
      <c r="AY299" s="108">
        <f t="shared" si="1218"/>
        <v>8683.7000000000007</v>
      </c>
      <c r="AZ299" s="108">
        <f t="shared" si="1219"/>
        <v>3</v>
      </c>
      <c r="BA299" s="108">
        <f t="shared" si="1220"/>
        <v>8686.7000000000007</v>
      </c>
      <c r="BB299" s="139">
        <v>8662.08</v>
      </c>
      <c r="BD299" s="139">
        <f t="shared" si="1221"/>
        <v>21.6200000000008</v>
      </c>
      <c r="BE299" s="139">
        <f t="shared" si="1222"/>
        <v>3</v>
      </c>
      <c r="BF299" s="139">
        <f t="shared" si="1223"/>
        <v>1732.42</v>
      </c>
      <c r="BG299" s="139">
        <f t="shared" si="1224"/>
        <v>0</v>
      </c>
      <c r="BH299" s="108">
        <v>855.4</v>
      </c>
      <c r="BI299" s="108">
        <v>0</v>
      </c>
      <c r="BJ299" s="108">
        <v>2404.34</v>
      </c>
      <c r="BL299" s="108">
        <f t="shared" si="1244"/>
        <v>11943.44</v>
      </c>
      <c r="BM299" s="108">
        <f t="shared" si="1262"/>
        <v>3</v>
      </c>
      <c r="BN299" s="108">
        <f t="shared" si="1263"/>
        <v>11946.44</v>
      </c>
      <c r="BO299" s="108">
        <v>11928.22</v>
      </c>
      <c r="BP299" s="127"/>
      <c r="BQ299" s="108">
        <f t="shared" si="1264"/>
        <v>15.220000000001164</v>
      </c>
      <c r="BR299" s="108">
        <f t="shared" si="1265"/>
        <v>3</v>
      </c>
      <c r="BS299" s="108">
        <f t="shared" si="1266"/>
        <v>1084.3800000000001</v>
      </c>
      <c r="BT299" s="108">
        <f t="shared" si="1267"/>
        <v>0</v>
      </c>
      <c r="BU299" s="108">
        <v>875</v>
      </c>
      <c r="BV299" s="108">
        <v>0</v>
      </c>
      <c r="BW299" s="109">
        <f>1493+650</f>
        <v>2143</v>
      </c>
      <c r="CA299" s="108">
        <v>14961.44</v>
      </c>
      <c r="CB299" s="108">
        <v>3</v>
      </c>
      <c r="CC299">
        <v>16457.580000000002</v>
      </c>
      <c r="CD299">
        <v>3.45</v>
      </c>
      <c r="CE299" s="194">
        <v>1371</v>
      </c>
      <c r="CF299" s="194">
        <v>0</v>
      </c>
      <c r="CG299" s="194">
        <f t="shared" si="1268"/>
        <v>3740.36</v>
      </c>
      <c r="CH299" s="194">
        <f t="shared" si="1269"/>
        <v>0.75</v>
      </c>
      <c r="CI299" s="150"/>
      <c r="CJ299" s="150"/>
      <c r="CK299" s="150">
        <f>3550-100-100</f>
        <v>3350</v>
      </c>
      <c r="CL299" s="150">
        <v>0</v>
      </c>
      <c r="CM299" s="150"/>
      <c r="CN299" s="150"/>
      <c r="CO299" s="150">
        <v>12775</v>
      </c>
      <c r="CP299" s="150">
        <v>100</v>
      </c>
      <c r="CQ299" s="150">
        <f t="shared" si="1270"/>
        <v>13400</v>
      </c>
      <c r="CR299" s="150">
        <f t="shared" si="1271"/>
        <v>0</v>
      </c>
      <c r="CS299" s="150">
        <f t="shared" si="1272"/>
        <v>12775</v>
      </c>
      <c r="CT299" s="150">
        <f t="shared" si="1273"/>
        <v>0</v>
      </c>
      <c r="CU299" s="150">
        <f t="shared" si="1272"/>
        <v>12775</v>
      </c>
      <c r="CV299" s="150">
        <v>105</v>
      </c>
      <c r="CW299" s="150">
        <f t="shared" si="1276"/>
        <v>3193.75</v>
      </c>
      <c r="CX299" s="150">
        <f t="shared" si="1290"/>
        <v>26.25</v>
      </c>
      <c r="CY299" s="150"/>
      <c r="CZ299" s="150">
        <v>78.75</v>
      </c>
      <c r="DA299" s="150">
        <f t="shared" si="1277"/>
        <v>7914.75</v>
      </c>
      <c r="DB299" s="150">
        <f t="shared" si="1278"/>
        <v>105</v>
      </c>
      <c r="DC299" s="150">
        <v>7861</v>
      </c>
      <c r="DD299" s="150">
        <v>93.09</v>
      </c>
      <c r="DE299" s="150">
        <f t="shared" si="1279"/>
        <v>53.75</v>
      </c>
      <c r="DF299" s="150">
        <f t="shared" si="1280"/>
        <v>11.909999999999997</v>
      </c>
      <c r="DG299" s="150">
        <f t="shared" si="1352"/>
        <v>3193.75</v>
      </c>
      <c r="DH299" s="150">
        <f t="shared" si="1353"/>
        <v>24.82</v>
      </c>
      <c r="DI299" s="150">
        <f t="shared" si="1354"/>
        <v>3140</v>
      </c>
      <c r="DJ299" s="150">
        <f>+DH299-DF299-12.91</f>
        <v>0</v>
      </c>
      <c r="DK299" s="104">
        <f t="shared" si="1157"/>
        <v>1988.9300000000003</v>
      </c>
      <c r="DL299" s="104">
        <f t="shared" si="1158"/>
        <v>-5.7099999999999937</v>
      </c>
      <c r="DM299" s="104">
        <f t="shared" si="1246"/>
        <v>1720.25</v>
      </c>
      <c r="DN299" s="104">
        <f t="shared" si="1247"/>
        <v>0</v>
      </c>
      <c r="DO299" s="104">
        <v>13043.68</v>
      </c>
      <c r="DP299" s="178">
        <v>99.29</v>
      </c>
      <c r="DQ299" s="104">
        <v>14737.83</v>
      </c>
      <c r="DR299" s="104">
        <v>0</v>
      </c>
    </row>
    <row r="300" spans="1:126" ht="37.5">
      <c r="A300" s="18">
        <v>10</v>
      </c>
      <c r="B300" s="18" t="s">
        <v>499</v>
      </c>
      <c r="C300" s="19" t="s">
        <v>94</v>
      </c>
      <c r="D300" s="20" t="s">
        <v>500</v>
      </c>
      <c r="E300" s="21" t="s">
        <v>501</v>
      </c>
      <c r="F300" s="81">
        <v>8485.7300000000014</v>
      </c>
      <c r="G300" s="81">
        <v>83</v>
      </c>
      <c r="H300" s="81">
        <v>9472.7300000000014</v>
      </c>
      <c r="I300" s="22">
        <v>83</v>
      </c>
      <c r="J300" s="88">
        <v>8386.9500000000007</v>
      </c>
      <c r="K300" s="88"/>
      <c r="L300" s="88"/>
      <c r="M300" s="88">
        <f t="shared" si="1345"/>
        <v>8386.9500000000007</v>
      </c>
      <c r="N300" s="88"/>
      <c r="O300" s="88"/>
      <c r="P300" s="88"/>
      <c r="Q300" s="88">
        <f t="shared" si="1346"/>
        <v>0</v>
      </c>
      <c r="R300" s="88">
        <f t="shared" si="1355"/>
        <v>8386.9500000000007</v>
      </c>
      <c r="S300" s="88"/>
      <c r="V300" s="22">
        <f t="shared" si="1347"/>
        <v>10024.99</v>
      </c>
      <c r="W300" s="17">
        <f t="shared" si="1348"/>
        <v>85.71</v>
      </c>
      <c r="X300" s="108">
        <f t="shared" si="1203"/>
        <v>-1638.0399999999991</v>
      </c>
      <c r="Y300" s="108">
        <f t="shared" si="1204"/>
        <v>-85.71</v>
      </c>
      <c r="Z300" s="108">
        <v>8386.9500000000007</v>
      </c>
      <c r="AA300" s="108"/>
      <c r="AB300" s="108">
        <f t="shared" si="1205"/>
        <v>8386.9500000000007</v>
      </c>
      <c r="AC300" s="109">
        <f t="shared" si="1206"/>
        <v>0</v>
      </c>
      <c r="AD300" s="88">
        <f t="shared" si="1356"/>
        <v>8386.9500000000007</v>
      </c>
      <c r="AE300" s="88">
        <f t="shared" si="1358"/>
        <v>0</v>
      </c>
      <c r="AF300" s="88">
        <f t="shared" si="1209"/>
        <v>0</v>
      </c>
      <c r="AG300" s="108">
        <f t="shared" si="1210"/>
        <v>2097</v>
      </c>
      <c r="AH300" s="108">
        <f t="shared" si="1211"/>
        <v>0</v>
      </c>
      <c r="AI300" s="127">
        <f t="shared" si="1212"/>
        <v>699</v>
      </c>
      <c r="AJ300" s="108">
        <f t="shared" si="1213"/>
        <v>0</v>
      </c>
      <c r="AM300" s="108">
        <f t="shared" si="1214"/>
        <v>2096.7399999999998</v>
      </c>
      <c r="AN300" s="108">
        <f t="shared" si="1215"/>
        <v>0</v>
      </c>
      <c r="AQ300" s="108">
        <f t="shared" si="1216"/>
        <v>4193.74</v>
      </c>
      <c r="AR300" s="108">
        <f t="shared" si="1217"/>
        <v>0</v>
      </c>
      <c r="AU300" s="108">
        <f t="shared" si="1326"/>
        <v>2096.7399999999998</v>
      </c>
      <c r="AV300" s="108">
        <f t="shared" si="1361"/>
        <v>0</v>
      </c>
      <c r="AY300" s="108">
        <f t="shared" si="1218"/>
        <v>6989.48</v>
      </c>
      <c r="AZ300" s="108">
        <f t="shared" si="1219"/>
        <v>0</v>
      </c>
      <c r="BA300" s="108">
        <f t="shared" si="1220"/>
        <v>6989.48</v>
      </c>
      <c r="BB300" s="156">
        <v>5451.17</v>
      </c>
      <c r="BD300" s="156">
        <f t="shared" si="1221"/>
        <v>1538.3099999999995</v>
      </c>
      <c r="BE300" s="139">
        <f t="shared" si="1222"/>
        <v>0</v>
      </c>
      <c r="BF300" s="139">
        <f t="shared" si="1223"/>
        <v>1090.23</v>
      </c>
      <c r="BG300" s="139">
        <f t="shared" si="1224"/>
        <v>0</v>
      </c>
      <c r="BH300" s="108">
        <v>0</v>
      </c>
      <c r="BI300" s="108">
        <v>0</v>
      </c>
      <c r="BJ300" s="108">
        <v>2790.17</v>
      </c>
      <c r="BL300" s="108">
        <f t="shared" si="1244"/>
        <v>9779.65</v>
      </c>
      <c r="BM300" s="108">
        <f t="shared" si="1262"/>
        <v>0</v>
      </c>
      <c r="BN300" s="108">
        <f t="shared" si="1263"/>
        <v>9779.65</v>
      </c>
      <c r="BO300" s="108">
        <v>9361.35</v>
      </c>
      <c r="BP300" s="127"/>
      <c r="BQ300" s="108">
        <f t="shared" si="1264"/>
        <v>418.29999999999927</v>
      </c>
      <c r="BR300" s="108">
        <f t="shared" si="1265"/>
        <v>0</v>
      </c>
      <c r="BS300" s="108">
        <f t="shared" si="1266"/>
        <v>851.03</v>
      </c>
      <c r="BT300" s="108">
        <f t="shared" si="1267"/>
        <v>0</v>
      </c>
      <c r="BU300" s="109">
        <v>250</v>
      </c>
      <c r="BV300" s="108">
        <f t="shared" ref="BV300:BV309" si="1362">BT300-BR300</f>
        <v>0</v>
      </c>
      <c r="CA300" s="108">
        <v>10029.65</v>
      </c>
      <c r="CB300" s="108">
        <v>0</v>
      </c>
      <c r="CC300">
        <v>11032.62</v>
      </c>
      <c r="CD300">
        <v>0</v>
      </c>
      <c r="CE300" s="194">
        <v>919</v>
      </c>
      <c r="CF300" s="194">
        <v>0</v>
      </c>
      <c r="CG300" s="194">
        <f t="shared" si="1268"/>
        <v>2507.41</v>
      </c>
      <c r="CH300" s="194">
        <f t="shared" si="1269"/>
        <v>0</v>
      </c>
      <c r="CI300" s="150"/>
      <c r="CJ300" s="150"/>
      <c r="CK300" s="150">
        <f>2757-100-100-57</f>
        <v>2500</v>
      </c>
      <c r="CL300" s="150">
        <v>0</v>
      </c>
      <c r="CM300" s="150"/>
      <c r="CN300" s="150"/>
      <c r="CO300" s="150">
        <v>9644.99</v>
      </c>
      <c r="CP300" s="150"/>
      <c r="CQ300" s="150">
        <f t="shared" si="1270"/>
        <v>10000</v>
      </c>
      <c r="CR300" s="150">
        <f t="shared" si="1271"/>
        <v>0</v>
      </c>
      <c r="CS300" s="150">
        <f t="shared" si="1272"/>
        <v>9644.99</v>
      </c>
      <c r="CT300" s="150">
        <f t="shared" si="1273"/>
        <v>0</v>
      </c>
      <c r="CU300" s="150">
        <v>10800</v>
      </c>
      <c r="CV300" s="150">
        <f>0+25</f>
        <v>25</v>
      </c>
      <c r="CW300" s="150">
        <f t="shared" si="1276"/>
        <v>2700</v>
      </c>
      <c r="CX300" s="150">
        <f>ROUND(CV300*25%,2)-6.25</f>
        <v>0</v>
      </c>
      <c r="CY300" s="150"/>
      <c r="CZ300" s="150">
        <v>25</v>
      </c>
      <c r="DA300" s="150">
        <f t="shared" si="1277"/>
        <v>6119</v>
      </c>
      <c r="DB300" s="150">
        <f t="shared" si="1278"/>
        <v>25</v>
      </c>
      <c r="DC300" s="150">
        <v>5820.85</v>
      </c>
      <c r="DD300" s="150">
        <v>19.739999999999998</v>
      </c>
      <c r="DE300" s="150">
        <f t="shared" si="1279"/>
        <v>298.14999999999964</v>
      </c>
      <c r="DF300" s="150">
        <f t="shared" si="1280"/>
        <v>5.2600000000000016</v>
      </c>
      <c r="DG300" s="150">
        <f t="shared" si="1352"/>
        <v>2700</v>
      </c>
      <c r="DH300" s="150">
        <f t="shared" si="1353"/>
        <v>4.9400000000000004</v>
      </c>
      <c r="DI300" s="150">
        <f t="shared" si="1354"/>
        <v>2401.8500000000004</v>
      </c>
      <c r="DJ300" s="150">
        <f>+DH300-DF300+0.32</f>
        <v>-1.1657341758564144E-15</v>
      </c>
      <c r="DK300" s="104">
        <f t="shared" si="1157"/>
        <v>2279.1499999999996</v>
      </c>
      <c r="DL300" s="104">
        <f t="shared" si="1158"/>
        <v>-5.2600000000000007</v>
      </c>
      <c r="DM300" s="104">
        <f t="shared" si="1246"/>
        <v>2279.1499999999996</v>
      </c>
      <c r="DN300" s="104">
        <f t="shared" si="1247"/>
        <v>1.1657341758564144E-15</v>
      </c>
      <c r="DO300" s="104">
        <v>10800</v>
      </c>
      <c r="DP300" s="178">
        <v>19.739999999999998</v>
      </c>
      <c r="DQ300" s="104">
        <v>12420</v>
      </c>
      <c r="DR300" s="104">
        <v>0</v>
      </c>
    </row>
    <row r="301" spans="1:126" ht="37.5">
      <c r="A301" s="18">
        <v>11</v>
      </c>
      <c r="B301" s="18" t="s">
        <v>502</v>
      </c>
      <c r="C301" s="19" t="s">
        <v>89</v>
      </c>
      <c r="D301" s="20" t="s">
        <v>503</v>
      </c>
      <c r="E301" s="21" t="s">
        <v>504</v>
      </c>
      <c r="F301" s="81">
        <v>9468</v>
      </c>
      <c r="G301" s="81">
        <v>55.88</v>
      </c>
      <c r="H301" s="81">
        <v>9468</v>
      </c>
      <c r="I301" s="22">
        <v>55.88</v>
      </c>
      <c r="J301" s="88">
        <v>9017.85</v>
      </c>
      <c r="K301" s="88"/>
      <c r="L301" s="88"/>
      <c r="M301" s="88">
        <f t="shared" si="1345"/>
        <v>9017.85</v>
      </c>
      <c r="N301" s="88"/>
      <c r="O301" s="88"/>
      <c r="P301" s="88"/>
      <c r="Q301" s="88">
        <f t="shared" si="1346"/>
        <v>0</v>
      </c>
      <c r="R301" s="88">
        <f t="shared" si="1355"/>
        <v>9017.85</v>
      </c>
      <c r="S301" s="88">
        <v>65</v>
      </c>
      <c r="V301" s="22">
        <f t="shared" si="1347"/>
        <v>10019.98</v>
      </c>
      <c r="W301" s="17">
        <f t="shared" si="1348"/>
        <v>57.71</v>
      </c>
      <c r="X301" s="108">
        <f t="shared" si="1203"/>
        <v>-1002.1299999999992</v>
      </c>
      <c r="Y301" s="108">
        <f t="shared" si="1204"/>
        <v>7.2899999999999991</v>
      </c>
      <c r="Z301" s="108">
        <v>9017.85</v>
      </c>
      <c r="AA301" s="108"/>
      <c r="AB301" s="108">
        <f t="shared" si="1205"/>
        <v>9017.85</v>
      </c>
      <c r="AC301" s="109">
        <f t="shared" si="1206"/>
        <v>0</v>
      </c>
      <c r="AD301" s="88">
        <f t="shared" si="1356"/>
        <v>9017.85</v>
      </c>
      <c r="AE301" s="88">
        <f t="shared" si="1358"/>
        <v>57.71</v>
      </c>
      <c r="AF301" s="88">
        <f t="shared" si="1209"/>
        <v>58.64</v>
      </c>
      <c r="AG301" s="108">
        <f t="shared" si="1210"/>
        <v>2254</v>
      </c>
      <c r="AH301" s="108">
        <f t="shared" si="1211"/>
        <v>14</v>
      </c>
      <c r="AI301" s="127">
        <f t="shared" si="1212"/>
        <v>751</v>
      </c>
      <c r="AJ301" s="108">
        <v>0</v>
      </c>
      <c r="AM301" s="108">
        <f t="shared" si="1214"/>
        <v>2254.46</v>
      </c>
      <c r="AN301" s="108">
        <f>ROUND(AE301*24.35%,2)+1.23</f>
        <v>15.280000000000001</v>
      </c>
      <c r="AQ301" s="151">
        <f t="shared" si="1216"/>
        <v>4508.46</v>
      </c>
      <c r="AR301" s="151">
        <f t="shared" si="1217"/>
        <v>29.28</v>
      </c>
      <c r="AS301" s="151"/>
      <c r="AT301" s="151"/>
      <c r="AU301" s="151">
        <f t="shared" si="1326"/>
        <v>2254.46</v>
      </c>
      <c r="AV301" s="151">
        <f t="shared" si="1361"/>
        <v>14.43</v>
      </c>
      <c r="AW301" s="151"/>
      <c r="AY301" s="108">
        <f t="shared" si="1218"/>
        <v>7513.92</v>
      </c>
      <c r="AZ301" s="108">
        <f t="shared" si="1219"/>
        <v>43.71</v>
      </c>
      <c r="BA301" s="108">
        <f t="shared" si="1220"/>
        <v>7557.63</v>
      </c>
      <c r="BB301" s="139">
        <v>6232.9800000000005</v>
      </c>
      <c r="BC301" s="139">
        <v>46.3</v>
      </c>
      <c r="BD301" s="139">
        <f t="shared" si="1221"/>
        <v>1280.9399999999996</v>
      </c>
      <c r="BE301" s="139">
        <f t="shared" si="1222"/>
        <v>-2.5899999999999963</v>
      </c>
      <c r="BF301" s="139">
        <f t="shared" si="1223"/>
        <v>1246.5999999999999</v>
      </c>
      <c r="BG301" s="139">
        <f t="shared" si="1224"/>
        <v>9.26</v>
      </c>
      <c r="BH301" s="108">
        <v>0</v>
      </c>
      <c r="BI301" s="108">
        <v>5.93</v>
      </c>
      <c r="BJ301" s="108">
        <v>2932.9</v>
      </c>
      <c r="BL301" s="108">
        <f t="shared" si="1244"/>
        <v>10446.82</v>
      </c>
      <c r="BM301" s="108">
        <f t="shared" si="1262"/>
        <v>49.64</v>
      </c>
      <c r="BN301" s="108">
        <f t="shared" si="1263"/>
        <v>10496.46</v>
      </c>
      <c r="BO301" s="108">
        <v>9195.98</v>
      </c>
      <c r="BP301" s="127">
        <v>50.05</v>
      </c>
      <c r="BQ301" s="108">
        <f t="shared" si="1264"/>
        <v>1250.8400000000001</v>
      </c>
      <c r="BR301" s="108">
        <f t="shared" si="1265"/>
        <v>-0.40999999999999659</v>
      </c>
      <c r="BS301" s="108">
        <f t="shared" si="1266"/>
        <v>836</v>
      </c>
      <c r="BT301" s="108">
        <f t="shared" si="1267"/>
        <v>4.55</v>
      </c>
      <c r="BU301" s="108">
        <v>0</v>
      </c>
      <c r="BV301" s="166">
        <v>7.89</v>
      </c>
      <c r="BW301" s="166">
        <v>1093.9100000000001</v>
      </c>
      <c r="BX301" s="166"/>
      <c r="BY301" s="166"/>
      <c r="BZ301" s="166"/>
      <c r="CA301" s="108">
        <v>11540.73</v>
      </c>
      <c r="CB301" s="108">
        <v>57.53</v>
      </c>
      <c r="CC301">
        <v>12694.8</v>
      </c>
      <c r="CD301">
        <v>66.16</v>
      </c>
      <c r="CE301" s="194">
        <v>1058</v>
      </c>
      <c r="CF301" s="194">
        <v>6</v>
      </c>
      <c r="CG301" s="194">
        <f t="shared" si="1268"/>
        <v>2885.18</v>
      </c>
      <c r="CH301" s="194">
        <f t="shared" si="1269"/>
        <v>14.38</v>
      </c>
      <c r="CI301" s="150"/>
      <c r="CJ301" s="150"/>
      <c r="CK301" s="150">
        <f>2684.75-100</f>
        <v>2584.75</v>
      </c>
      <c r="CL301" s="150">
        <v>15</v>
      </c>
      <c r="CM301" s="150"/>
      <c r="CN301" s="150"/>
      <c r="CO301" s="150">
        <v>10250</v>
      </c>
      <c r="CP301" s="150">
        <v>45</v>
      </c>
      <c r="CQ301" s="150">
        <f t="shared" si="1270"/>
        <v>10339</v>
      </c>
      <c r="CR301" s="150">
        <f t="shared" si="1271"/>
        <v>60</v>
      </c>
      <c r="CS301" s="150">
        <f t="shared" si="1272"/>
        <v>10250</v>
      </c>
      <c r="CT301" s="150">
        <f t="shared" si="1273"/>
        <v>45</v>
      </c>
      <c r="CU301" s="150">
        <v>10486.25</v>
      </c>
      <c r="CV301" s="150">
        <v>57.71</v>
      </c>
      <c r="CW301" s="150">
        <f t="shared" si="1276"/>
        <v>2621.56</v>
      </c>
      <c r="CX301" s="150">
        <f>ROUND(CV301*25%,2)-3</f>
        <v>11.43</v>
      </c>
      <c r="CY301" s="150"/>
      <c r="CZ301" s="150"/>
      <c r="DA301" s="150">
        <f t="shared" si="1277"/>
        <v>6264.3099999999995</v>
      </c>
      <c r="DB301" s="150">
        <f t="shared" si="1278"/>
        <v>32.43</v>
      </c>
      <c r="DC301" s="150">
        <v>5098.3500000000004</v>
      </c>
      <c r="DD301" s="150">
        <v>35.54</v>
      </c>
      <c r="DE301" s="150">
        <f t="shared" si="1279"/>
        <v>1165.9599999999991</v>
      </c>
      <c r="DF301" s="150">
        <f t="shared" si="1280"/>
        <v>-3.1099999999999994</v>
      </c>
      <c r="DG301" s="150">
        <f t="shared" si="1352"/>
        <v>2621.56</v>
      </c>
      <c r="DH301" s="150">
        <f t="shared" si="1353"/>
        <v>14.43</v>
      </c>
      <c r="DI301" s="150">
        <f t="shared" si="1354"/>
        <v>1455.6000000000008</v>
      </c>
      <c r="DJ301" s="150">
        <f>+DH301-DF301</f>
        <v>17.54</v>
      </c>
      <c r="DK301" s="104">
        <f t="shared" si="1157"/>
        <v>2766.3399999999997</v>
      </c>
      <c r="DL301" s="104">
        <f t="shared" si="1158"/>
        <v>7.740000000000002</v>
      </c>
      <c r="DM301" s="104">
        <f t="shared" si="1246"/>
        <v>2766.3399999999997</v>
      </c>
      <c r="DN301" s="104">
        <f t="shared" si="1247"/>
        <v>7.740000000000002</v>
      </c>
      <c r="DO301" s="104">
        <v>10486.25</v>
      </c>
      <c r="DP301" s="104">
        <v>57.71</v>
      </c>
      <c r="DQ301" s="104">
        <v>12059.18</v>
      </c>
      <c r="DR301" s="104">
        <v>47</v>
      </c>
    </row>
    <row r="302" spans="1:126" ht="37.5">
      <c r="A302" s="18">
        <v>12</v>
      </c>
      <c r="B302" s="18" t="s">
        <v>505</v>
      </c>
      <c r="C302" s="19" t="s">
        <v>99</v>
      </c>
      <c r="D302" s="20" t="s">
        <v>506</v>
      </c>
      <c r="E302" s="21" t="s">
        <v>507</v>
      </c>
      <c r="F302" s="81">
        <v>7408.1800000000012</v>
      </c>
      <c r="G302" s="81">
        <v>4.88</v>
      </c>
      <c r="H302" s="81">
        <v>7520.1800000000012</v>
      </c>
      <c r="I302" s="22">
        <v>4.88</v>
      </c>
      <c r="J302" s="88">
        <v>7850.46</v>
      </c>
      <c r="K302" s="88"/>
      <c r="L302" s="88"/>
      <c r="M302" s="88">
        <f t="shared" si="1345"/>
        <v>7850.46</v>
      </c>
      <c r="N302" s="88"/>
      <c r="O302" s="88"/>
      <c r="P302" s="88"/>
      <c r="Q302" s="88">
        <f t="shared" si="1346"/>
        <v>0</v>
      </c>
      <c r="R302" s="88">
        <f t="shared" si="1355"/>
        <v>7850.46</v>
      </c>
      <c r="S302" s="88">
        <v>9</v>
      </c>
      <c r="V302" s="22">
        <f t="shared" si="1347"/>
        <v>7958.61</v>
      </c>
      <c r="W302" s="17">
        <f t="shared" si="1348"/>
        <v>5.04</v>
      </c>
      <c r="X302" s="108">
        <f t="shared" si="1203"/>
        <v>-108.14999999999964</v>
      </c>
      <c r="Y302" s="108">
        <f t="shared" si="1204"/>
        <v>3.96</v>
      </c>
      <c r="Z302" s="108">
        <v>7850.46</v>
      </c>
      <c r="AA302" s="108"/>
      <c r="AB302" s="108">
        <f t="shared" si="1205"/>
        <v>7850.46</v>
      </c>
      <c r="AC302" s="109">
        <f t="shared" si="1206"/>
        <v>0</v>
      </c>
      <c r="AD302" s="88">
        <f t="shared" si="1356"/>
        <v>7850.46</v>
      </c>
      <c r="AE302" s="88">
        <f t="shared" si="1358"/>
        <v>5.04</v>
      </c>
      <c r="AF302" s="88">
        <f t="shared" si="1209"/>
        <v>8.1199999999999992</v>
      </c>
      <c r="AG302" s="108">
        <f t="shared" si="1210"/>
        <v>1963</v>
      </c>
      <c r="AH302" s="108">
        <f t="shared" si="1211"/>
        <v>1</v>
      </c>
      <c r="AI302" s="127">
        <f t="shared" si="1212"/>
        <v>654</v>
      </c>
      <c r="AJ302" s="108">
        <v>5</v>
      </c>
      <c r="AM302" s="108">
        <f t="shared" si="1214"/>
        <v>1962.62</v>
      </c>
      <c r="AN302" s="108">
        <v>0</v>
      </c>
      <c r="AQ302" s="151">
        <f t="shared" si="1216"/>
        <v>3925.62</v>
      </c>
      <c r="AR302" s="151">
        <f t="shared" si="1217"/>
        <v>1</v>
      </c>
      <c r="AS302" s="151"/>
      <c r="AT302" s="151"/>
      <c r="AU302" s="151">
        <f t="shared" si="1326"/>
        <v>1962.62</v>
      </c>
      <c r="AV302" s="151">
        <f>ROUND(AE302*25%,2)-1.26</f>
        <v>0</v>
      </c>
      <c r="AW302" s="151"/>
      <c r="AX302" s="141"/>
      <c r="AY302" s="108">
        <f t="shared" si="1218"/>
        <v>6542.24</v>
      </c>
      <c r="AZ302" s="108">
        <f t="shared" si="1219"/>
        <v>6</v>
      </c>
      <c r="BA302" s="108">
        <f t="shared" si="1220"/>
        <v>6548.24</v>
      </c>
      <c r="BB302" s="156">
        <v>6482.2</v>
      </c>
      <c r="BC302" s="139">
        <v>1.05</v>
      </c>
      <c r="BD302" s="139">
        <f t="shared" si="1221"/>
        <v>60.039999999999964</v>
      </c>
      <c r="BE302" s="139">
        <f t="shared" si="1222"/>
        <v>4.95</v>
      </c>
      <c r="BF302" s="139">
        <f t="shared" si="1223"/>
        <v>1296.44</v>
      </c>
      <c r="BG302" s="139">
        <f t="shared" si="1224"/>
        <v>0.21</v>
      </c>
      <c r="BH302" s="141">
        <v>618.20000000000005</v>
      </c>
      <c r="BI302" s="108">
        <v>0</v>
      </c>
      <c r="BJ302" s="108">
        <v>787.88</v>
      </c>
      <c r="BL302" s="108">
        <f t="shared" si="1244"/>
        <v>7948.32</v>
      </c>
      <c r="BM302" s="108">
        <f t="shared" si="1262"/>
        <v>6</v>
      </c>
      <c r="BN302" s="108">
        <f t="shared" si="1263"/>
        <v>7954.32</v>
      </c>
      <c r="BO302" s="108">
        <v>7657.94</v>
      </c>
      <c r="BP302" s="127">
        <v>2.64</v>
      </c>
      <c r="BQ302" s="108">
        <f t="shared" si="1264"/>
        <v>290.38000000000011</v>
      </c>
      <c r="BR302" s="108">
        <f t="shared" si="1265"/>
        <v>3.36</v>
      </c>
      <c r="BS302" s="108">
        <f t="shared" si="1266"/>
        <v>696.18</v>
      </c>
      <c r="BT302" s="108">
        <f t="shared" si="1267"/>
        <v>0.24</v>
      </c>
      <c r="BU302" s="108">
        <f t="shared" si="1297"/>
        <v>405.79999999999984</v>
      </c>
      <c r="BV302" s="108">
        <v>0</v>
      </c>
      <c r="BY302" s="108">
        <v>3.14</v>
      </c>
      <c r="CA302" s="108">
        <v>8354.119999999999</v>
      </c>
      <c r="CB302" s="108">
        <v>2.86</v>
      </c>
      <c r="CC302">
        <v>9189.5300000000007</v>
      </c>
      <c r="CD302">
        <v>3.29</v>
      </c>
      <c r="CE302" s="194">
        <v>766</v>
      </c>
      <c r="CF302" s="194">
        <v>0</v>
      </c>
      <c r="CG302" s="194">
        <f t="shared" si="1268"/>
        <v>2088.5300000000002</v>
      </c>
      <c r="CH302" s="194">
        <f t="shared" si="1269"/>
        <v>0.72</v>
      </c>
      <c r="CI302" s="150"/>
      <c r="CJ302" s="150"/>
      <c r="CK302" s="150">
        <f>1892.38-100</f>
        <v>1792.38</v>
      </c>
      <c r="CL302" s="150">
        <v>1</v>
      </c>
      <c r="CM302" s="150"/>
      <c r="CN302" s="150"/>
      <c r="CO302" s="150">
        <v>8635.49</v>
      </c>
      <c r="CP302" s="150">
        <v>6</v>
      </c>
      <c r="CQ302" s="150">
        <f t="shared" si="1270"/>
        <v>7169.52</v>
      </c>
      <c r="CR302" s="150">
        <f t="shared" si="1271"/>
        <v>4</v>
      </c>
      <c r="CS302" s="150">
        <f t="shared" si="1272"/>
        <v>7169.52</v>
      </c>
      <c r="CT302" s="150">
        <f t="shared" si="1273"/>
        <v>4</v>
      </c>
      <c r="CU302" s="150">
        <v>7992.18</v>
      </c>
      <c r="CV302" s="150">
        <v>4</v>
      </c>
      <c r="CW302" s="150">
        <f t="shared" si="1276"/>
        <v>1998.05</v>
      </c>
      <c r="CX302" s="150">
        <f>ROUND(CV302*25%,2)-1</f>
        <v>0</v>
      </c>
      <c r="CY302" s="150"/>
      <c r="CZ302" s="150"/>
      <c r="DA302" s="150">
        <f t="shared" si="1277"/>
        <v>4556.43</v>
      </c>
      <c r="DB302" s="150">
        <f t="shared" si="1278"/>
        <v>1</v>
      </c>
      <c r="DC302" s="150">
        <v>4534.71</v>
      </c>
      <c r="DD302" s="150">
        <v>0.2</v>
      </c>
      <c r="DE302" s="150">
        <f t="shared" si="1279"/>
        <v>21.720000000000255</v>
      </c>
      <c r="DF302" s="150">
        <f t="shared" si="1280"/>
        <v>0.8</v>
      </c>
      <c r="DG302" s="150">
        <f t="shared" si="1352"/>
        <v>1998.05</v>
      </c>
      <c r="DH302" s="150">
        <f t="shared" si="1353"/>
        <v>0.55000000000000004</v>
      </c>
      <c r="DI302" s="150">
        <f t="shared" si="1354"/>
        <v>1976.3299999999997</v>
      </c>
      <c r="DJ302" s="150">
        <f>+DH302-DF302+0.25</f>
        <v>0</v>
      </c>
      <c r="DK302" s="104">
        <f t="shared" si="1157"/>
        <v>2838.8999999999996</v>
      </c>
      <c r="DL302" s="104">
        <f t="shared" si="1158"/>
        <v>1.2000000000000002</v>
      </c>
      <c r="DM302" s="104">
        <f t="shared" si="1246"/>
        <v>1459.4200000000003</v>
      </c>
      <c r="DN302" s="104">
        <f t="shared" si="1247"/>
        <v>3</v>
      </c>
      <c r="DO302" s="104">
        <v>9371.66</v>
      </c>
      <c r="DP302" s="104">
        <v>2.2000000000000002</v>
      </c>
      <c r="DQ302" s="104">
        <v>10308</v>
      </c>
      <c r="DR302" s="104">
        <v>4</v>
      </c>
    </row>
    <row r="303" spans="1:126" ht="18.75">
      <c r="A303" s="68">
        <v>13</v>
      </c>
      <c r="B303" s="68"/>
      <c r="C303" s="69"/>
      <c r="D303" s="70" t="s">
        <v>508</v>
      </c>
      <c r="E303" s="71"/>
      <c r="F303" s="81">
        <v>0</v>
      </c>
      <c r="G303" s="81">
        <v>0</v>
      </c>
      <c r="H303" s="81">
        <v>0</v>
      </c>
      <c r="I303" s="72">
        <v>0</v>
      </c>
      <c r="J303" s="99"/>
      <c r="K303" s="87"/>
      <c r="L303" s="87"/>
      <c r="M303" s="87"/>
      <c r="N303" s="87"/>
      <c r="O303" s="87"/>
      <c r="P303" s="87"/>
      <c r="Q303" s="87"/>
      <c r="R303" s="87"/>
      <c r="S303" s="87"/>
      <c r="V303" s="72">
        <v>0</v>
      </c>
      <c r="W303" s="17">
        <f t="shared" ref="W303:W307" si="1363">+U303+V303</f>
        <v>0</v>
      </c>
      <c r="X303" s="108">
        <f t="shared" si="1203"/>
        <v>0</v>
      </c>
      <c r="Y303" s="108">
        <f t="shared" si="1204"/>
        <v>0</v>
      </c>
      <c r="Z303" s="108"/>
      <c r="AA303" s="108"/>
      <c r="AB303" s="108">
        <f t="shared" si="1205"/>
        <v>0</v>
      </c>
      <c r="AC303" s="109">
        <f t="shared" si="1206"/>
        <v>0</v>
      </c>
      <c r="AD303" s="108"/>
      <c r="AE303" s="108"/>
      <c r="AF303" s="108">
        <f t="shared" si="1209"/>
        <v>0</v>
      </c>
      <c r="AG303" s="108">
        <f t="shared" si="1210"/>
        <v>0</v>
      </c>
      <c r="AH303" s="108">
        <f t="shared" si="1211"/>
        <v>0</v>
      </c>
      <c r="AI303" s="127">
        <f t="shared" si="1212"/>
        <v>0</v>
      </c>
      <c r="AJ303" s="108">
        <f t="shared" si="1213"/>
        <v>0</v>
      </c>
      <c r="AM303" s="108">
        <f t="shared" si="1214"/>
        <v>0</v>
      </c>
      <c r="AN303" s="108">
        <f t="shared" si="1215"/>
        <v>0</v>
      </c>
      <c r="AQ303" s="108">
        <f t="shared" si="1216"/>
        <v>0</v>
      </c>
      <c r="AR303" s="108">
        <f t="shared" si="1217"/>
        <v>0</v>
      </c>
      <c r="AU303" s="108">
        <f t="shared" si="1326"/>
        <v>0</v>
      </c>
      <c r="AV303" s="108">
        <f t="shared" si="1361"/>
        <v>0</v>
      </c>
      <c r="AY303" s="108">
        <f t="shared" si="1218"/>
        <v>0</v>
      </c>
      <c r="AZ303" s="108">
        <f t="shared" si="1219"/>
        <v>0</v>
      </c>
      <c r="BA303" s="108">
        <f t="shared" si="1220"/>
        <v>0</v>
      </c>
      <c r="BD303" s="139">
        <f t="shared" si="1221"/>
        <v>0</v>
      </c>
      <c r="BE303" s="139">
        <f t="shared" si="1222"/>
        <v>0</v>
      </c>
      <c r="BF303" s="139">
        <f t="shared" si="1223"/>
        <v>0</v>
      </c>
      <c r="BG303" s="139">
        <f t="shared" si="1224"/>
        <v>0</v>
      </c>
      <c r="BH303" s="108">
        <v>0</v>
      </c>
      <c r="BI303" s="108">
        <v>0</v>
      </c>
      <c r="BL303" s="108">
        <f t="shared" si="1244"/>
        <v>0</v>
      </c>
      <c r="BM303" s="108">
        <f t="shared" si="1262"/>
        <v>0</v>
      </c>
      <c r="BN303" s="108">
        <f t="shared" si="1263"/>
        <v>0</v>
      </c>
      <c r="BO303" s="108">
        <v>0</v>
      </c>
      <c r="BP303" s="127"/>
      <c r="BQ303" s="108">
        <f t="shared" si="1264"/>
        <v>0</v>
      </c>
      <c r="BR303" s="108">
        <f t="shared" si="1265"/>
        <v>0</v>
      </c>
      <c r="BS303" s="108">
        <f t="shared" si="1266"/>
        <v>0</v>
      </c>
      <c r="BT303" s="108">
        <f t="shared" si="1267"/>
        <v>0</v>
      </c>
      <c r="BU303" s="108">
        <f t="shared" si="1297"/>
        <v>0</v>
      </c>
      <c r="BV303" s="108">
        <f t="shared" si="1362"/>
        <v>0</v>
      </c>
      <c r="CA303" s="108">
        <v>0</v>
      </c>
      <c r="CB303" s="108">
        <v>0</v>
      </c>
      <c r="CC303">
        <v>0</v>
      </c>
      <c r="CD303">
        <v>0</v>
      </c>
      <c r="CE303" s="194">
        <v>0</v>
      </c>
      <c r="CF303" s="194">
        <v>0</v>
      </c>
      <c r="CG303" s="194">
        <f t="shared" si="1268"/>
        <v>0</v>
      </c>
      <c r="CH303" s="194">
        <f t="shared" si="1269"/>
        <v>0</v>
      </c>
      <c r="CI303" s="150"/>
      <c r="CJ303" s="150"/>
      <c r="CK303" s="150"/>
      <c r="CL303" s="150"/>
      <c r="CM303" s="150"/>
      <c r="CN303" s="150"/>
      <c r="CO303" s="150"/>
      <c r="CP303" s="150"/>
      <c r="CQ303" s="150">
        <f t="shared" si="1270"/>
        <v>0</v>
      </c>
      <c r="CR303" s="150">
        <f t="shared" si="1271"/>
        <v>0</v>
      </c>
      <c r="CS303" s="150">
        <f t="shared" si="1272"/>
        <v>0</v>
      </c>
      <c r="CT303" s="150">
        <f t="shared" si="1273"/>
        <v>0</v>
      </c>
      <c r="CU303" s="150"/>
      <c r="CV303" s="150"/>
      <c r="CW303" s="150">
        <f t="shared" si="1276"/>
        <v>0</v>
      </c>
      <c r="CX303" s="150">
        <f t="shared" si="1290"/>
        <v>0</v>
      </c>
      <c r="CY303" s="150"/>
      <c r="CZ303" s="150"/>
      <c r="DA303" s="150">
        <f t="shared" si="1277"/>
        <v>0</v>
      </c>
      <c r="DB303" s="150">
        <f t="shared" si="1278"/>
        <v>0</v>
      </c>
      <c r="DC303" s="150"/>
      <c r="DD303" s="150"/>
      <c r="DE303" s="150">
        <f t="shared" si="1279"/>
        <v>0</v>
      </c>
      <c r="DF303" s="150">
        <f t="shared" si="1280"/>
        <v>0</v>
      </c>
      <c r="DG303" s="150">
        <f t="shared" si="1352"/>
        <v>0</v>
      </c>
      <c r="DH303" s="150">
        <f t="shared" si="1353"/>
        <v>0</v>
      </c>
      <c r="DI303" s="150">
        <f t="shared" si="1354"/>
        <v>0</v>
      </c>
      <c r="DJ303" s="150">
        <f>+DH303-DF303</f>
        <v>0</v>
      </c>
      <c r="DK303" s="104">
        <f t="shared" si="1157"/>
        <v>0</v>
      </c>
      <c r="DL303" s="104">
        <f t="shared" si="1158"/>
        <v>0</v>
      </c>
      <c r="DM303" s="104">
        <f t="shared" si="1246"/>
        <v>0</v>
      </c>
      <c r="DN303" s="104">
        <f t="shared" si="1247"/>
        <v>0</v>
      </c>
    </row>
    <row r="304" spans="1:126" ht="18.75">
      <c r="A304" s="68">
        <v>14</v>
      </c>
      <c r="B304" s="68"/>
      <c r="C304" s="69"/>
      <c r="D304" s="15" t="s">
        <v>509</v>
      </c>
      <c r="E304" s="16"/>
      <c r="F304" s="81">
        <v>0</v>
      </c>
      <c r="G304" s="81">
        <v>0</v>
      </c>
      <c r="H304" s="81">
        <v>0</v>
      </c>
      <c r="I304" s="72">
        <v>0</v>
      </c>
      <c r="J304" s="99"/>
      <c r="K304" s="87"/>
      <c r="L304" s="87"/>
      <c r="M304" s="87"/>
      <c r="N304" s="87"/>
      <c r="O304" s="87"/>
      <c r="P304" s="87"/>
      <c r="Q304" s="87"/>
      <c r="R304" s="87"/>
      <c r="S304" s="87"/>
      <c r="V304" s="72">
        <v>0</v>
      </c>
      <c r="W304" s="17">
        <f t="shared" si="1363"/>
        <v>0</v>
      </c>
      <c r="X304" s="108">
        <f t="shared" si="1203"/>
        <v>0</v>
      </c>
      <c r="Y304" s="108">
        <f t="shared" si="1204"/>
        <v>0</v>
      </c>
      <c r="Z304" s="108"/>
      <c r="AA304" s="108"/>
      <c r="AB304" s="108">
        <f t="shared" si="1205"/>
        <v>0</v>
      </c>
      <c r="AC304" s="109">
        <f t="shared" si="1206"/>
        <v>0</v>
      </c>
      <c r="AD304" s="108"/>
      <c r="AE304" s="108"/>
      <c r="AF304" s="108">
        <f t="shared" si="1209"/>
        <v>0</v>
      </c>
      <c r="AG304" s="108">
        <f t="shared" si="1210"/>
        <v>0</v>
      </c>
      <c r="AH304" s="108">
        <f t="shared" si="1211"/>
        <v>0</v>
      </c>
      <c r="AI304" s="127">
        <f t="shared" si="1212"/>
        <v>0</v>
      </c>
      <c r="AJ304" s="108">
        <f t="shared" si="1213"/>
        <v>0</v>
      </c>
      <c r="AM304" s="108">
        <f t="shared" si="1214"/>
        <v>0</v>
      </c>
      <c r="AN304" s="108">
        <f t="shared" si="1215"/>
        <v>0</v>
      </c>
      <c r="AQ304" s="108">
        <f t="shared" si="1216"/>
        <v>0</v>
      </c>
      <c r="AR304" s="108">
        <f t="shared" si="1217"/>
        <v>0</v>
      </c>
      <c r="AU304" s="108">
        <f t="shared" si="1326"/>
        <v>0</v>
      </c>
      <c r="AV304" s="108">
        <f t="shared" si="1361"/>
        <v>0</v>
      </c>
      <c r="AY304" s="108">
        <f t="shared" si="1218"/>
        <v>0</v>
      </c>
      <c r="AZ304" s="108">
        <f t="shared" si="1219"/>
        <v>0</v>
      </c>
      <c r="BA304" s="108">
        <f t="shared" si="1220"/>
        <v>0</v>
      </c>
      <c r="BD304" s="139">
        <f t="shared" si="1221"/>
        <v>0</v>
      </c>
      <c r="BE304" s="139">
        <f t="shared" si="1222"/>
        <v>0</v>
      </c>
      <c r="BF304" s="139">
        <f t="shared" si="1223"/>
        <v>0</v>
      </c>
      <c r="BG304" s="139">
        <f t="shared" si="1224"/>
        <v>0</v>
      </c>
      <c r="BH304" s="108">
        <v>0</v>
      </c>
      <c r="BI304" s="108">
        <v>0</v>
      </c>
      <c r="BL304" s="108">
        <f t="shared" si="1244"/>
        <v>0</v>
      </c>
      <c r="BM304" s="108">
        <f t="shared" si="1262"/>
        <v>0</v>
      </c>
      <c r="BN304" s="108">
        <f t="shared" si="1263"/>
        <v>0</v>
      </c>
      <c r="BO304" s="108">
        <v>0</v>
      </c>
      <c r="BP304" s="127"/>
      <c r="BQ304" s="108">
        <f t="shared" si="1264"/>
        <v>0</v>
      </c>
      <c r="BR304" s="108">
        <f t="shared" si="1265"/>
        <v>0</v>
      </c>
      <c r="BS304" s="108">
        <f t="shared" si="1266"/>
        <v>0</v>
      </c>
      <c r="BT304" s="108">
        <f t="shared" si="1267"/>
        <v>0</v>
      </c>
      <c r="BU304" s="108">
        <f t="shared" si="1297"/>
        <v>0</v>
      </c>
      <c r="BV304" s="108">
        <f t="shared" si="1362"/>
        <v>0</v>
      </c>
      <c r="CA304" s="108">
        <v>0</v>
      </c>
      <c r="CB304" s="108">
        <v>0</v>
      </c>
      <c r="CC304">
        <v>0</v>
      </c>
      <c r="CD304">
        <v>0</v>
      </c>
      <c r="CE304" s="194">
        <v>0</v>
      </c>
      <c r="CF304" s="194">
        <v>0</v>
      </c>
      <c r="CG304" s="194">
        <f t="shared" si="1268"/>
        <v>0</v>
      </c>
      <c r="CH304" s="194">
        <f t="shared" si="1269"/>
        <v>0</v>
      </c>
      <c r="CI304" s="150"/>
      <c r="CJ304" s="150"/>
      <c r="CK304" s="150"/>
      <c r="CL304" s="150"/>
      <c r="CM304" s="150"/>
      <c r="CN304" s="150"/>
      <c r="CO304" s="150"/>
      <c r="CP304" s="150"/>
      <c r="CQ304" s="150">
        <f t="shared" si="1270"/>
        <v>0</v>
      </c>
      <c r="CR304" s="150">
        <f t="shared" si="1271"/>
        <v>0</v>
      </c>
      <c r="CS304" s="150">
        <f t="shared" si="1272"/>
        <v>0</v>
      </c>
      <c r="CT304" s="150">
        <f t="shared" si="1273"/>
        <v>0</v>
      </c>
      <c r="CU304" s="150"/>
      <c r="CV304" s="150"/>
      <c r="CW304" s="150">
        <f t="shared" si="1276"/>
        <v>0</v>
      </c>
      <c r="CX304" s="150">
        <f t="shared" si="1290"/>
        <v>0</v>
      </c>
      <c r="CY304" s="150"/>
      <c r="CZ304" s="150"/>
      <c r="DA304" s="150">
        <f t="shared" si="1277"/>
        <v>0</v>
      </c>
      <c r="DB304" s="150">
        <f t="shared" si="1278"/>
        <v>0</v>
      </c>
      <c r="DC304" s="150"/>
      <c r="DD304" s="150"/>
      <c r="DE304" s="150">
        <f t="shared" si="1279"/>
        <v>0</v>
      </c>
      <c r="DF304" s="150">
        <f t="shared" si="1280"/>
        <v>0</v>
      </c>
      <c r="DG304" s="150">
        <f t="shared" si="1352"/>
        <v>0</v>
      </c>
      <c r="DH304" s="150">
        <f t="shared" si="1353"/>
        <v>0</v>
      </c>
      <c r="DI304" s="150">
        <f t="shared" si="1354"/>
        <v>0</v>
      </c>
      <c r="DJ304" s="150">
        <f>+DH304-DF304</f>
        <v>0</v>
      </c>
      <c r="DK304" s="104">
        <f t="shared" si="1157"/>
        <v>0</v>
      </c>
      <c r="DL304" s="104">
        <f t="shared" si="1158"/>
        <v>0</v>
      </c>
      <c r="DM304" s="104">
        <f t="shared" si="1246"/>
        <v>0</v>
      </c>
      <c r="DN304" s="104">
        <f t="shared" si="1247"/>
        <v>0</v>
      </c>
    </row>
    <row r="305" spans="1:126" ht="18.75">
      <c r="A305" s="68">
        <v>15</v>
      </c>
      <c r="B305" s="68"/>
      <c r="C305" s="73"/>
      <c r="D305" s="70" t="s">
        <v>510</v>
      </c>
      <c r="E305" s="71"/>
      <c r="F305" s="81">
        <v>0</v>
      </c>
      <c r="G305" s="81">
        <v>0</v>
      </c>
      <c r="H305" s="81">
        <v>0</v>
      </c>
      <c r="I305" s="72">
        <v>0</v>
      </c>
      <c r="J305" s="99"/>
      <c r="K305" s="87"/>
      <c r="L305" s="87"/>
      <c r="M305" s="87"/>
      <c r="N305" s="87"/>
      <c r="O305" s="87"/>
      <c r="P305" s="87"/>
      <c r="Q305" s="87"/>
      <c r="R305" s="87"/>
      <c r="S305" s="87"/>
      <c r="V305" s="72">
        <v>0</v>
      </c>
      <c r="W305" s="17">
        <f t="shared" si="1363"/>
        <v>0</v>
      </c>
      <c r="X305" s="108">
        <f t="shared" si="1203"/>
        <v>0</v>
      </c>
      <c r="Y305" s="108">
        <f t="shared" si="1204"/>
        <v>0</v>
      </c>
      <c r="Z305" s="108"/>
      <c r="AA305" s="108"/>
      <c r="AB305" s="108">
        <f t="shared" si="1205"/>
        <v>0</v>
      </c>
      <c r="AC305" s="109">
        <f t="shared" si="1206"/>
        <v>0</v>
      </c>
      <c r="AD305" s="108"/>
      <c r="AE305" s="108"/>
      <c r="AF305" s="108">
        <f t="shared" si="1209"/>
        <v>0</v>
      </c>
      <c r="AG305" s="108">
        <f t="shared" si="1210"/>
        <v>0</v>
      </c>
      <c r="AH305" s="108">
        <f t="shared" si="1211"/>
        <v>0</v>
      </c>
      <c r="AI305" s="127">
        <f t="shared" si="1212"/>
        <v>0</v>
      </c>
      <c r="AJ305" s="108">
        <f t="shared" si="1213"/>
        <v>0</v>
      </c>
      <c r="AM305" s="108">
        <f t="shared" si="1214"/>
        <v>0</v>
      </c>
      <c r="AN305" s="108">
        <f t="shared" si="1215"/>
        <v>0</v>
      </c>
      <c r="AQ305" s="108">
        <f t="shared" si="1216"/>
        <v>0</v>
      </c>
      <c r="AR305" s="108">
        <f t="shared" si="1217"/>
        <v>0</v>
      </c>
      <c r="AU305" s="108">
        <f t="shared" si="1326"/>
        <v>0</v>
      </c>
      <c r="AV305" s="108">
        <f t="shared" si="1361"/>
        <v>0</v>
      </c>
      <c r="AY305" s="108">
        <f t="shared" si="1218"/>
        <v>0</v>
      </c>
      <c r="AZ305" s="108">
        <f t="shared" si="1219"/>
        <v>0</v>
      </c>
      <c r="BA305" s="108">
        <f t="shared" si="1220"/>
        <v>0</v>
      </c>
      <c r="BD305" s="139">
        <f t="shared" si="1221"/>
        <v>0</v>
      </c>
      <c r="BE305" s="139">
        <f t="shared" si="1222"/>
        <v>0</v>
      </c>
      <c r="BF305" s="139">
        <f t="shared" si="1223"/>
        <v>0</v>
      </c>
      <c r="BG305" s="139">
        <f t="shared" si="1224"/>
        <v>0</v>
      </c>
      <c r="BH305" s="108">
        <v>0</v>
      </c>
      <c r="BI305" s="108">
        <v>0</v>
      </c>
      <c r="BL305" s="108">
        <f t="shared" si="1244"/>
        <v>0</v>
      </c>
      <c r="BM305" s="108">
        <f t="shared" si="1262"/>
        <v>0</v>
      </c>
      <c r="BN305" s="108">
        <f t="shared" si="1263"/>
        <v>0</v>
      </c>
      <c r="BO305" s="108">
        <v>0</v>
      </c>
      <c r="BP305" s="127"/>
      <c r="BQ305" s="108">
        <f t="shared" si="1264"/>
        <v>0</v>
      </c>
      <c r="BR305" s="108">
        <f t="shared" si="1265"/>
        <v>0</v>
      </c>
      <c r="BS305" s="108">
        <f t="shared" si="1266"/>
        <v>0</v>
      </c>
      <c r="BT305" s="108">
        <f t="shared" si="1267"/>
        <v>0</v>
      </c>
      <c r="BU305" s="108">
        <f t="shared" si="1297"/>
        <v>0</v>
      </c>
      <c r="BV305" s="108">
        <f t="shared" si="1362"/>
        <v>0</v>
      </c>
      <c r="CA305" s="108">
        <v>0</v>
      </c>
      <c r="CB305" s="108">
        <v>0</v>
      </c>
      <c r="CC305">
        <v>0</v>
      </c>
      <c r="CD305">
        <v>0</v>
      </c>
      <c r="CE305" s="194">
        <v>0</v>
      </c>
      <c r="CF305" s="194">
        <v>0</v>
      </c>
      <c r="CG305" s="194">
        <f t="shared" si="1268"/>
        <v>0</v>
      </c>
      <c r="CH305" s="194">
        <f t="shared" si="1269"/>
        <v>0</v>
      </c>
      <c r="CI305" s="150"/>
      <c r="CJ305" s="150"/>
      <c r="CK305" s="150"/>
      <c r="CL305" s="150"/>
      <c r="CM305" s="150"/>
      <c r="CN305" s="150"/>
      <c r="CO305" s="150"/>
      <c r="CP305" s="150"/>
      <c r="CQ305" s="150">
        <f t="shared" si="1270"/>
        <v>0</v>
      </c>
      <c r="CR305" s="150">
        <f t="shared" si="1271"/>
        <v>0</v>
      </c>
      <c r="CS305" s="150">
        <f t="shared" si="1272"/>
        <v>0</v>
      </c>
      <c r="CT305" s="150">
        <f t="shared" si="1273"/>
        <v>0</v>
      </c>
      <c r="CU305" s="150"/>
      <c r="CV305" s="150"/>
      <c r="CW305" s="150">
        <f t="shared" si="1276"/>
        <v>0</v>
      </c>
      <c r="CX305" s="150">
        <f t="shared" si="1290"/>
        <v>0</v>
      </c>
      <c r="CY305" s="150"/>
      <c r="CZ305" s="150"/>
      <c r="DA305" s="150">
        <f t="shared" si="1277"/>
        <v>0</v>
      </c>
      <c r="DB305" s="150">
        <f t="shared" si="1278"/>
        <v>0</v>
      </c>
      <c r="DC305" s="150"/>
      <c r="DD305" s="150"/>
      <c r="DE305" s="150">
        <f t="shared" si="1279"/>
        <v>0</v>
      </c>
      <c r="DF305" s="150">
        <f t="shared" si="1280"/>
        <v>0</v>
      </c>
      <c r="DG305" s="150">
        <f t="shared" si="1352"/>
        <v>0</v>
      </c>
      <c r="DH305" s="150">
        <f t="shared" si="1353"/>
        <v>0</v>
      </c>
      <c r="DI305" s="150">
        <f t="shared" si="1354"/>
        <v>0</v>
      </c>
      <c r="DJ305" s="150">
        <f>+DH305-DF305</f>
        <v>0</v>
      </c>
      <c r="DK305" s="104">
        <f t="shared" si="1157"/>
        <v>0</v>
      </c>
      <c r="DL305" s="104">
        <f t="shared" si="1158"/>
        <v>0</v>
      </c>
      <c r="DM305" s="104">
        <f t="shared" si="1246"/>
        <v>0</v>
      </c>
      <c r="DN305" s="104">
        <f t="shared" si="1247"/>
        <v>0</v>
      </c>
    </row>
    <row r="306" spans="1:126" ht="18.75">
      <c r="A306" s="68">
        <v>16</v>
      </c>
      <c r="B306" s="68"/>
      <c r="C306" s="73"/>
      <c r="D306" s="70" t="s">
        <v>511</v>
      </c>
      <c r="E306" s="71"/>
      <c r="F306" s="81">
        <v>0</v>
      </c>
      <c r="G306" s="81">
        <v>0</v>
      </c>
      <c r="H306" s="81">
        <v>0</v>
      </c>
      <c r="I306" s="72">
        <v>0</v>
      </c>
      <c r="J306" s="99"/>
      <c r="K306" s="87"/>
      <c r="L306" s="87"/>
      <c r="M306" s="87"/>
      <c r="N306" s="87"/>
      <c r="O306" s="87"/>
      <c r="P306" s="87"/>
      <c r="Q306" s="87"/>
      <c r="R306" s="87"/>
      <c r="S306" s="87"/>
      <c r="V306" s="72">
        <v>0</v>
      </c>
      <c r="W306" s="17">
        <f t="shared" si="1363"/>
        <v>0</v>
      </c>
      <c r="X306" s="108">
        <f t="shared" si="1203"/>
        <v>0</v>
      </c>
      <c r="Y306" s="108">
        <f t="shared" si="1204"/>
        <v>0</v>
      </c>
      <c r="Z306" s="108"/>
      <c r="AA306" s="108"/>
      <c r="AB306" s="108">
        <f t="shared" si="1205"/>
        <v>0</v>
      </c>
      <c r="AC306" s="109">
        <f t="shared" si="1206"/>
        <v>0</v>
      </c>
      <c r="AD306" s="108"/>
      <c r="AE306" s="108"/>
      <c r="AF306" s="108">
        <f t="shared" si="1209"/>
        <v>0</v>
      </c>
      <c r="AG306" s="108">
        <f t="shared" si="1210"/>
        <v>0</v>
      </c>
      <c r="AH306" s="108">
        <f t="shared" si="1211"/>
        <v>0</v>
      </c>
      <c r="AI306" s="127">
        <f t="shared" si="1212"/>
        <v>0</v>
      </c>
      <c r="AJ306" s="108">
        <f t="shared" si="1213"/>
        <v>0</v>
      </c>
      <c r="AM306" s="108">
        <f t="shared" si="1214"/>
        <v>0</v>
      </c>
      <c r="AN306" s="108">
        <f t="shared" si="1215"/>
        <v>0</v>
      </c>
      <c r="AQ306" s="108">
        <f t="shared" si="1216"/>
        <v>0</v>
      </c>
      <c r="AR306" s="108">
        <f t="shared" si="1217"/>
        <v>0</v>
      </c>
      <c r="AU306" s="108">
        <f t="shared" si="1326"/>
        <v>0</v>
      </c>
      <c r="AV306" s="108">
        <f t="shared" si="1361"/>
        <v>0</v>
      </c>
      <c r="AY306" s="108">
        <f t="shared" si="1218"/>
        <v>0</v>
      </c>
      <c r="AZ306" s="108">
        <f t="shared" si="1219"/>
        <v>0</v>
      </c>
      <c r="BA306" s="108">
        <f t="shared" si="1220"/>
        <v>0</v>
      </c>
      <c r="BD306" s="139">
        <f t="shared" si="1221"/>
        <v>0</v>
      </c>
      <c r="BE306" s="139">
        <f t="shared" si="1222"/>
        <v>0</v>
      </c>
      <c r="BF306" s="139">
        <f t="shared" si="1223"/>
        <v>0</v>
      </c>
      <c r="BG306" s="139">
        <f t="shared" si="1224"/>
        <v>0</v>
      </c>
      <c r="BH306" s="108">
        <v>0</v>
      </c>
      <c r="BI306" s="108">
        <v>0</v>
      </c>
      <c r="BL306" s="108">
        <f t="shared" si="1244"/>
        <v>0</v>
      </c>
      <c r="BM306" s="108">
        <f t="shared" si="1262"/>
        <v>0</v>
      </c>
      <c r="BN306" s="108">
        <f t="shared" si="1263"/>
        <v>0</v>
      </c>
      <c r="BO306" s="108">
        <v>0</v>
      </c>
      <c r="BP306" s="127"/>
      <c r="BQ306" s="108">
        <f t="shared" si="1264"/>
        <v>0</v>
      </c>
      <c r="BR306" s="108">
        <f t="shared" si="1265"/>
        <v>0</v>
      </c>
      <c r="BS306" s="108">
        <f t="shared" si="1266"/>
        <v>0</v>
      </c>
      <c r="BT306" s="108">
        <f t="shared" si="1267"/>
        <v>0</v>
      </c>
      <c r="BU306" s="108">
        <f t="shared" si="1297"/>
        <v>0</v>
      </c>
      <c r="BV306" s="108">
        <f t="shared" si="1362"/>
        <v>0</v>
      </c>
      <c r="CA306" s="108">
        <v>0</v>
      </c>
      <c r="CB306" s="108">
        <v>0</v>
      </c>
      <c r="CC306">
        <v>0</v>
      </c>
      <c r="CD306">
        <v>0</v>
      </c>
      <c r="CE306" s="194">
        <v>0</v>
      </c>
      <c r="CF306" s="194">
        <v>0</v>
      </c>
      <c r="CG306" s="194">
        <f t="shared" si="1268"/>
        <v>0</v>
      </c>
      <c r="CH306" s="194">
        <f t="shared" si="1269"/>
        <v>0</v>
      </c>
      <c r="CI306" s="150"/>
      <c r="CJ306" s="150"/>
      <c r="CK306" s="150"/>
      <c r="CL306" s="150"/>
      <c r="CM306" s="150"/>
      <c r="CN306" s="150"/>
      <c r="CO306" s="150"/>
      <c r="CP306" s="150"/>
      <c r="CQ306" s="150">
        <f t="shared" si="1270"/>
        <v>0</v>
      </c>
      <c r="CR306" s="150">
        <f t="shared" si="1271"/>
        <v>0</v>
      </c>
      <c r="CS306" s="150">
        <f t="shared" si="1272"/>
        <v>0</v>
      </c>
      <c r="CT306" s="150">
        <f t="shared" si="1273"/>
        <v>0</v>
      </c>
      <c r="CU306" s="150"/>
      <c r="CV306" s="150"/>
      <c r="CW306" s="150">
        <f t="shared" si="1276"/>
        <v>0</v>
      </c>
      <c r="CX306" s="150">
        <f t="shared" si="1290"/>
        <v>0</v>
      </c>
      <c r="CY306" s="150"/>
      <c r="CZ306" s="150"/>
      <c r="DA306" s="150">
        <f t="shared" si="1277"/>
        <v>0</v>
      </c>
      <c r="DB306" s="150">
        <f t="shared" si="1278"/>
        <v>0</v>
      </c>
      <c r="DC306" s="150"/>
      <c r="DD306" s="150"/>
      <c r="DE306" s="150">
        <f t="shared" si="1279"/>
        <v>0</v>
      </c>
      <c r="DF306" s="150">
        <f t="shared" si="1280"/>
        <v>0</v>
      </c>
      <c r="DG306" s="150">
        <f t="shared" si="1352"/>
        <v>0</v>
      </c>
      <c r="DH306" s="150">
        <f t="shared" si="1353"/>
        <v>0</v>
      </c>
      <c r="DI306" s="150">
        <f t="shared" si="1354"/>
        <v>0</v>
      </c>
      <c r="DJ306" s="150">
        <f>+DH306-DF306</f>
        <v>0</v>
      </c>
      <c r="DK306" s="104">
        <f t="shared" si="1157"/>
        <v>0</v>
      </c>
      <c r="DL306" s="104">
        <f t="shared" si="1158"/>
        <v>0</v>
      </c>
      <c r="DM306" s="104">
        <f t="shared" si="1246"/>
        <v>0</v>
      </c>
      <c r="DN306" s="104">
        <f t="shared" si="1247"/>
        <v>0</v>
      </c>
    </row>
    <row r="307" spans="1:126" ht="18.75">
      <c r="A307" s="68">
        <v>17</v>
      </c>
      <c r="B307" s="68"/>
      <c r="C307" s="73"/>
      <c r="D307" s="70" t="s">
        <v>512</v>
      </c>
      <c r="E307" s="71"/>
      <c r="F307" s="81">
        <v>0</v>
      </c>
      <c r="G307" s="81">
        <v>0</v>
      </c>
      <c r="H307" s="81">
        <v>0</v>
      </c>
      <c r="I307" s="72">
        <v>0</v>
      </c>
      <c r="J307" s="99"/>
      <c r="K307" s="87"/>
      <c r="L307" s="87"/>
      <c r="M307" s="87"/>
      <c r="N307" s="87"/>
      <c r="O307" s="87"/>
      <c r="P307" s="87"/>
      <c r="Q307" s="87"/>
      <c r="R307" s="87"/>
      <c r="S307" s="87"/>
      <c r="V307" s="72">
        <v>0</v>
      </c>
      <c r="W307" s="17">
        <f t="shared" si="1363"/>
        <v>0</v>
      </c>
      <c r="X307" s="108">
        <f t="shared" si="1203"/>
        <v>0</v>
      </c>
      <c r="Y307" s="108">
        <f t="shared" si="1204"/>
        <v>0</v>
      </c>
      <c r="Z307" s="108"/>
      <c r="AA307" s="108"/>
      <c r="AB307" s="108">
        <f t="shared" si="1205"/>
        <v>0</v>
      </c>
      <c r="AC307" s="109">
        <f t="shared" si="1206"/>
        <v>0</v>
      </c>
      <c r="AD307" s="108"/>
      <c r="AE307" s="108"/>
      <c r="AF307" s="108">
        <f t="shared" si="1209"/>
        <v>0</v>
      </c>
      <c r="AG307" s="108">
        <f t="shared" si="1210"/>
        <v>0</v>
      </c>
      <c r="AH307" s="108">
        <f t="shared" si="1211"/>
        <v>0</v>
      </c>
      <c r="AI307" s="127">
        <f t="shared" si="1212"/>
        <v>0</v>
      </c>
      <c r="AJ307" s="108">
        <f t="shared" si="1213"/>
        <v>0</v>
      </c>
      <c r="AM307" s="108">
        <f t="shared" si="1214"/>
        <v>0</v>
      </c>
      <c r="AN307" s="108">
        <f t="shared" si="1215"/>
        <v>0</v>
      </c>
      <c r="AQ307" s="108">
        <f t="shared" si="1216"/>
        <v>0</v>
      </c>
      <c r="AR307" s="108">
        <f t="shared" si="1217"/>
        <v>0</v>
      </c>
      <c r="AU307" s="108">
        <f t="shared" si="1326"/>
        <v>0</v>
      </c>
      <c r="AV307" s="108">
        <f t="shared" si="1361"/>
        <v>0</v>
      </c>
      <c r="AY307" s="108">
        <f t="shared" si="1218"/>
        <v>0</v>
      </c>
      <c r="AZ307" s="108">
        <f t="shared" si="1219"/>
        <v>0</v>
      </c>
      <c r="BA307" s="108">
        <f t="shared" si="1220"/>
        <v>0</v>
      </c>
      <c r="BD307" s="139">
        <f t="shared" si="1221"/>
        <v>0</v>
      </c>
      <c r="BE307" s="139">
        <f t="shared" si="1222"/>
        <v>0</v>
      </c>
      <c r="BF307" s="139">
        <f t="shared" si="1223"/>
        <v>0</v>
      </c>
      <c r="BG307" s="139">
        <f t="shared" si="1224"/>
        <v>0</v>
      </c>
      <c r="BH307" s="108">
        <v>0</v>
      </c>
      <c r="BI307" s="108">
        <v>0</v>
      </c>
      <c r="BL307" s="108">
        <f t="shared" ref="BL307:BL309" si="1364">+BH307+AY307+BJ307</f>
        <v>0</v>
      </c>
      <c r="BM307" s="108">
        <f t="shared" si="1262"/>
        <v>0</v>
      </c>
      <c r="BN307" s="108">
        <f t="shared" si="1263"/>
        <v>0</v>
      </c>
      <c r="BO307" s="108">
        <v>0</v>
      </c>
      <c r="BP307" s="127"/>
      <c r="BQ307" s="108">
        <f t="shared" si="1264"/>
        <v>0</v>
      </c>
      <c r="BR307" s="108">
        <f t="shared" si="1265"/>
        <v>0</v>
      </c>
      <c r="BS307" s="108">
        <f t="shared" si="1266"/>
        <v>0</v>
      </c>
      <c r="BT307" s="108">
        <f t="shared" si="1267"/>
        <v>0</v>
      </c>
      <c r="BU307" s="108">
        <f t="shared" si="1297"/>
        <v>0</v>
      </c>
      <c r="BV307" s="108">
        <f t="shared" si="1362"/>
        <v>0</v>
      </c>
      <c r="CA307" s="108">
        <v>0</v>
      </c>
      <c r="CB307" s="108">
        <v>0</v>
      </c>
      <c r="CC307">
        <v>0</v>
      </c>
      <c r="CD307">
        <v>0</v>
      </c>
      <c r="CE307" s="194">
        <v>0</v>
      </c>
      <c r="CF307" s="194">
        <v>0</v>
      </c>
      <c r="CG307" s="194">
        <f t="shared" si="1268"/>
        <v>0</v>
      </c>
      <c r="CH307" s="194">
        <f t="shared" si="1269"/>
        <v>0</v>
      </c>
      <c r="CI307" s="150"/>
      <c r="CJ307" s="150"/>
      <c r="CK307" s="150"/>
      <c r="CL307" s="150"/>
      <c r="CM307" s="150"/>
      <c r="CN307" s="150"/>
      <c r="CO307" s="150"/>
      <c r="CP307" s="150"/>
      <c r="CQ307" s="150">
        <f t="shared" si="1270"/>
        <v>0</v>
      </c>
      <c r="CR307" s="150">
        <f t="shared" si="1271"/>
        <v>0</v>
      </c>
      <c r="CS307" s="150">
        <f t="shared" si="1272"/>
        <v>0</v>
      </c>
      <c r="CT307" s="150">
        <f t="shared" si="1273"/>
        <v>0</v>
      </c>
      <c r="CU307" s="150"/>
      <c r="CV307" s="150"/>
      <c r="CW307" s="150">
        <f t="shared" si="1276"/>
        <v>0</v>
      </c>
      <c r="CX307" s="150">
        <f t="shared" si="1290"/>
        <v>0</v>
      </c>
      <c r="CY307" s="150"/>
      <c r="CZ307" s="150"/>
      <c r="DA307" s="150">
        <f t="shared" si="1277"/>
        <v>0</v>
      </c>
      <c r="DB307" s="150">
        <f t="shared" si="1278"/>
        <v>0</v>
      </c>
      <c r="DC307" s="150"/>
      <c r="DD307" s="150"/>
      <c r="DE307" s="150">
        <f t="shared" si="1279"/>
        <v>0</v>
      </c>
      <c r="DF307" s="150">
        <f t="shared" si="1280"/>
        <v>0</v>
      </c>
      <c r="DG307" s="150">
        <f t="shared" si="1352"/>
        <v>0</v>
      </c>
      <c r="DH307" s="150">
        <f t="shared" si="1353"/>
        <v>0</v>
      </c>
      <c r="DI307" s="150">
        <f t="shared" si="1354"/>
        <v>0</v>
      </c>
      <c r="DJ307" s="150">
        <f>+DH307-DF307</f>
        <v>0</v>
      </c>
      <c r="DK307" s="104">
        <f t="shared" si="1157"/>
        <v>0</v>
      </c>
      <c r="DL307" s="104">
        <f t="shared" si="1158"/>
        <v>0</v>
      </c>
      <c r="DM307" s="104">
        <f t="shared" si="1246"/>
        <v>0</v>
      </c>
      <c r="DN307" s="104">
        <f t="shared" si="1247"/>
        <v>0</v>
      </c>
    </row>
    <row r="308" spans="1:126" ht="37.5">
      <c r="A308" s="45"/>
      <c r="B308" s="45"/>
      <c r="C308" s="46"/>
      <c r="D308" s="47" t="s">
        <v>513</v>
      </c>
      <c r="E308" s="48" t="s">
        <v>514</v>
      </c>
      <c r="F308" s="49">
        <f t="shared" ref="F308:AA308" si="1365">+F307+F306+F305+F304+F303+F302+F301+F300+F299+F298+F297+F296+F295+F294+F291+F292+F293</f>
        <v>92622.010000000009</v>
      </c>
      <c r="G308" s="49">
        <f t="shared" si="1365"/>
        <v>211.61999999999998</v>
      </c>
      <c r="H308" s="49">
        <f t="shared" si="1365"/>
        <v>95608.889999999985</v>
      </c>
      <c r="I308" s="49">
        <f t="shared" si="1365"/>
        <v>210.49999999999997</v>
      </c>
      <c r="J308" s="49">
        <f t="shared" si="1365"/>
        <v>81071.64</v>
      </c>
      <c r="K308" s="49">
        <f t="shared" si="1365"/>
        <v>0</v>
      </c>
      <c r="L308" s="49">
        <f t="shared" si="1365"/>
        <v>0</v>
      </c>
      <c r="M308" s="49">
        <f t="shared" si="1365"/>
        <v>81071.64</v>
      </c>
      <c r="N308" s="49">
        <f t="shared" si="1365"/>
        <v>13145.543</v>
      </c>
      <c r="O308" s="49">
        <f t="shared" si="1365"/>
        <v>0</v>
      </c>
      <c r="P308" s="49">
        <f t="shared" si="1365"/>
        <v>0</v>
      </c>
      <c r="Q308" s="49">
        <f t="shared" si="1365"/>
        <v>13145.543</v>
      </c>
      <c r="R308" s="49">
        <f t="shared" si="1365"/>
        <v>94217.18299999999</v>
      </c>
      <c r="S308" s="49">
        <f t="shared" si="1365"/>
        <v>181</v>
      </c>
      <c r="T308" s="49">
        <f t="shared" si="1365"/>
        <v>0</v>
      </c>
      <c r="U308" s="49">
        <f t="shared" si="1365"/>
        <v>0</v>
      </c>
      <c r="V308" s="49">
        <f t="shared" si="1365"/>
        <v>101182.9</v>
      </c>
      <c r="W308" s="49">
        <f t="shared" si="1365"/>
        <v>217.37</v>
      </c>
      <c r="X308" s="49">
        <f t="shared" si="1365"/>
        <v>-6965.7169999999978</v>
      </c>
      <c r="Y308" s="49">
        <f t="shared" si="1365"/>
        <v>-36.369999999999983</v>
      </c>
      <c r="Z308" s="49">
        <f t="shared" si="1365"/>
        <v>80660.58</v>
      </c>
      <c r="AA308" s="49">
        <f t="shared" si="1365"/>
        <v>12620.189999999999</v>
      </c>
      <c r="AB308" s="49">
        <f t="shared" si="1205"/>
        <v>93280.77</v>
      </c>
      <c r="AC308" s="109">
        <f t="shared" si="1206"/>
        <v>0</v>
      </c>
      <c r="AD308" s="49">
        <f t="shared" ref="AD308:CQ308" si="1366">+AD307+AD306+AD305+AD304+AD303+AD302+AD301+AD300+AD299+AD298+AD297+AD296+AD295+AD294+AD291+AD292+AD293</f>
        <v>93280.77</v>
      </c>
      <c r="AE308" s="49">
        <f t="shared" si="1366"/>
        <v>103.05</v>
      </c>
      <c r="AF308" s="49">
        <f t="shared" si="1366"/>
        <v>163.30000000000001</v>
      </c>
      <c r="AG308" s="49">
        <f t="shared" si="1366"/>
        <v>23320</v>
      </c>
      <c r="AH308" s="49">
        <f t="shared" si="1366"/>
        <v>24</v>
      </c>
      <c r="AI308" s="49">
        <f t="shared" si="1366"/>
        <v>7772</v>
      </c>
      <c r="AJ308" s="49">
        <f t="shared" si="1366"/>
        <v>8</v>
      </c>
      <c r="AK308" s="49">
        <f t="shared" si="1366"/>
        <v>0</v>
      </c>
      <c r="AL308" s="49">
        <f t="shared" si="1366"/>
        <v>0</v>
      </c>
      <c r="AM308" s="49">
        <f t="shared" si="1366"/>
        <v>23320.21</v>
      </c>
      <c r="AN308" s="49">
        <f t="shared" si="1366"/>
        <v>26.63</v>
      </c>
      <c r="AO308" s="49">
        <f t="shared" si="1366"/>
        <v>0</v>
      </c>
      <c r="AP308" s="49">
        <f t="shared" si="1366"/>
        <v>0</v>
      </c>
      <c r="AQ308" s="49">
        <f t="shared" si="1366"/>
        <v>46640.21</v>
      </c>
      <c r="AR308" s="49">
        <f t="shared" si="1366"/>
        <v>50.63</v>
      </c>
      <c r="AS308" s="49">
        <f t="shared" si="1366"/>
        <v>0</v>
      </c>
      <c r="AT308" s="49">
        <f t="shared" si="1366"/>
        <v>0</v>
      </c>
      <c r="AU308" s="49">
        <f t="shared" si="1366"/>
        <v>23320.21</v>
      </c>
      <c r="AV308" s="49">
        <f t="shared" si="1366"/>
        <v>24.259999999999998</v>
      </c>
      <c r="AW308" s="49">
        <f t="shared" si="1366"/>
        <v>28.6</v>
      </c>
      <c r="AX308" s="49">
        <f t="shared" si="1366"/>
        <v>50</v>
      </c>
      <c r="AY308" s="49">
        <f t="shared" si="1366"/>
        <v>77761.02</v>
      </c>
      <c r="AZ308" s="49">
        <f t="shared" si="1366"/>
        <v>132.88999999999999</v>
      </c>
      <c r="BA308" s="49">
        <f t="shared" si="1366"/>
        <v>77893.91</v>
      </c>
      <c r="BB308" s="49">
        <f t="shared" si="1366"/>
        <v>73459.63</v>
      </c>
      <c r="BC308" s="49">
        <f t="shared" si="1366"/>
        <v>132.12</v>
      </c>
      <c r="BD308" s="49">
        <f t="shared" si="1366"/>
        <v>4301.3900000000021</v>
      </c>
      <c r="BE308" s="49">
        <f t="shared" si="1366"/>
        <v>0.77000000000000424</v>
      </c>
      <c r="BF308" s="49">
        <f t="shared" si="1366"/>
        <v>14691.93</v>
      </c>
      <c r="BG308" s="49">
        <f t="shared" si="1366"/>
        <v>26.43</v>
      </c>
      <c r="BH308" s="49">
        <f t="shared" si="1366"/>
        <v>5448.29</v>
      </c>
      <c r="BI308" s="49">
        <f t="shared" si="1366"/>
        <v>29.82</v>
      </c>
      <c r="BJ308" s="49">
        <f t="shared" si="1366"/>
        <v>22177.54</v>
      </c>
      <c r="BK308" s="49">
        <f t="shared" si="1366"/>
        <v>6.69</v>
      </c>
      <c r="BL308" s="49">
        <f t="shared" si="1366"/>
        <v>105386.85000000002</v>
      </c>
      <c r="BM308" s="49">
        <f t="shared" si="1366"/>
        <v>169.4</v>
      </c>
      <c r="BN308" s="49">
        <f t="shared" si="1366"/>
        <v>105556.25000000003</v>
      </c>
      <c r="BO308" s="49">
        <f t="shared" si="1366"/>
        <v>97786.900000000009</v>
      </c>
      <c r="BP308" s="130">
        <f t="shared" si="1366"/>
        <v>108.88</v>
      </c>
      <c r="BQ308" s="49">
        <f t="shared" si="1366"/>
        <v>7599.9500000000016</v>
      </c>
      <c r="BR308" s="49">
        <f t="shared" si="1366"/>
        <v>60.52</v>
      </c>
      <c r="BS308" s="49">
        <f t="shared" si="1366"/>
        <v>8889.7300000000014</v>
      </c>
      <c r="BT308" s="49">
        <f t="shared" si="1366"/>
        <v>9.9</v>
      </c>
      <c r="BU308" s="49">
        <f t="shared" si="1366"/>
        <v>3687.8599999999997</v>
      </c>
      <c r="BV308" s="49">
        <f t="shared" si="1366"/>
        <v>7.89</v>
      </c>
      <c r="BW308" s="49">
        <f t="shared" si="1366"/>
        <v>7868.27</v>
      </c>
      <c r="BX308" s="49">
        <f t="shared" si="1366"/>
        <v>8.76</v>
      </c>
      <c r="BY308" s="49">
        <f t="shared" si="1366"/>
        <v>3.14</v>
      </c>
      <c r="BZ308" s="49">
        <f t="shared" si="1366"/>
        <v>0</v>
      </c>
      <c r="CA308" s="49">
        <f t="shared" si="1366"/>
        <v>116942.98</v>
      </c>
      <c r="CB308" s="49">
        <f t="shared" si="1366"/>
        <v>182.91</v>
      </c>
      <c r="CC308" s="49">
        <f t="shared" si="1366"/>
        <v>128637.27000000002</v>
      </c>
      <c r="CD308" s="49">
        <f t="shared" si="1366"/>
        <v>210.35</v>
      </c>
      <c r="CE308" s="191">
        <f t="shared" si="1366"/>
        <v>10721</v>
      </c>
      <c r="CF308" s="191">
        <f t="shared" si="1366"/>
        <v>19</v>
      </c>
      <c r="CG308" s="191">
        <f t="shared" si="1366"/>
        <v>29235.739999999998</v>
      </c>
      <c r="CH308" s="195">
        <f t="shared" si="1366"/>
        <v>45.73</v>
      </c>
      <c r="CI308" s="191">
        <f t="shared" si="1366"/>
        <v>0</v>
      </c>
      <c r="CJ308" s="191">
        <f t="shared" si="1366"/>
        <v>0</v>
      </c>
      <c r="CK308" s="191">
        <f t="shared" si="1366"/>
        <v>26668.13</v>
      </c>
      <c r="CL308" s="191">
        <f t="shared" si="1366"/>
        <v>57.5</v>
      </c>
      <c r="CM308" s="191">
        <f t="shared" si="1366"/>
        <v>0</v>
      </c>
      <c r="CN308" s="191">
        <f t="shared" si="1366"/>
        <v>0</v>
      </c>
      <c r="CO308" s="191">
        <f t="shared" si="1366"/>
        <v>110494.87</v>
      </c>
      <c r="CP308" s="191">
        <f t="shared" si="1366"/>
        <v>387.5</v>
      </c>
      <c r="CQ308" s="191">
        <f t="shared" si="1366"/>
        <v>106672.52</v>
      </c>
      <c r="CR308" s="191">
        <f t="shared" ref="CR308:DR308" si="1367">+CR307+CR306+CR305+CR304+CR303+CR302+CR301+CR300+CR299+CR298+CR297+CR296+CR295+CR294+CR291+CR292+CR293</f>
        <v>237</v>
      </c>
      <c r="CS308" s="191">
        <f t="shared" si="1367"/>
        <v>103503.51000000001</v>
      </c>
      <c r="CT308" s="191">
        <f t="shared" si="1367"/>
        <v>219.5</v>
      </c>
      <c r="CU308" s="191">
        <f t="shared" si="1367"/>
        <v>108215.43</v>
      </c>
      <c r="CV308" s="191">
        <f t="shared" si="1367"/>
        <v>396.21000000000004</v>
      </c>
      <c r="CW308" s="191">
        <f t="shared" si="1367"/>
        <v>26654.36</v>
      </c>
      <c r="CX308" s="191">
        <f t="shared" si="1367"/>
        <v>73.930000000000007</v>
      </c>
      <c r="CY308" s="191">
        <f t="shared" si="1367"/>
        <v>436.24</v>
      </c>
      <c r="CZ308" s="191">
        <f t="shared" si="1367"/>
        <v>155.75</v>
      </c>
      <c r="DA308" s="191">
        <f t="shared" si="1367"/>
        <v>64479.729999999996</v>
      </c>
      <c r="DB308" s="191">
        <f t="shared" si="1367"/>
        <v>306.18</v>
      </c>
      <c r="DC308" s="191">
        <f t="shared" si="1367"/>
        <v>59889.020000000004</v>
      </c>
      <c r="DD308" s="191">
        <f t="shared" si="1367"/>
        <v>209.55</v>
      </c>
      <c r="DE308" s="191">
        <f t="shared" si="1367"/>
        <v>4590.7100000000009</v>
      </c>
      <c r="DF308" s="191">
        <f t="shared" si="1367"/>
        <v>96.63</v>
      </c>
      <c r="DG308" s="191">
        <f t="shared" si="1367"/>
        <v>26645.48</v>
      </c>
      <c r="DH308" s="191">
        <f t="shared" si="1367"/>
        <v>93.18</v>
      </c>
      <c r="DI308" s="191">
        <f t="shared" si="1367"/>
        <v>23871.47</v>
      </c>
      <c r="DJ308" s="191">
        <f t="shared" si="1367"/>
        <v>17.54</v>
      </c>
      <c r="DK308" s="104">
        <f t="shared" si="1157"/>
        <v>20668.239999999991</v>
      </c>
      <c r="DL308" s="104">
        <f t="shared" si="1158"/>
        <v>67.130000000000024</v>
      </c>
      <c r="DM308" s="104">
        <f t="shared" si="1246"/>
        <v>19864.229999999996</v>
      </c>
      <c r="DN308" s="104">
        <f t="shared" si="1247"/>
        <v>72.490000000000038</v>
      </c>
      <c r="DO308" s="49">
        <f t="shared" si="1367"/>
        <v>109019.43999999999</v>
      </c>
      <c r="DP308" s="49">
        <f t="shared" si="1367"/>
        <v>390.85</v>
      </c>
      <c r="DQ308" s="49">
        <f t="shared" si="1367"/>
        <v>121152.81000000001</v>
      </c>
      <c r="DR308" s="49">
        <f t="shared" si="1367"/>
        <v>103</v>
      </c>
      <c r="DS308" s="49">
        <f t="shared" ref="DS308:DT308" si="1368">+DS307+DS306+DS305+DS304+DS303+DS302+DS301+DS300+DS299+DS298+DS297+DS296+DS295+DS294+DS291+DS292+DS293</f>
        <v>0</v>
      </c>
      <c r="DT308" s="49">
        <f t="shared" si="1368"/>
        <v>0</v>
      </c>
    </row>
    <row r="309" spans="1:126" ht="37.5">
      <c r="A309" s="18"/>
      <c r="B309" s="18" t="s">
        <v>515</v>
      </c>
      <c r="C309" s="19" t="s">
        <v>40</v>
      </c>
      <c r="D309" s="20" t="s">
        <v>516</v>
      </c>
      <c r="E309" s="21" t="s">
        <v>517</v>
      </c>
      <c r="F309" s="81">
        <v>0</v>
      </c>
      <c r="G309" s="81">
        <v>0</v>
      </c>
      <c r="H309" s="81"/>
      <c r="I309" s="22"/>
      <c r="J309" s="88"/>
      <c r="K309" s="87"/>
      <c r="L309" s="87"/>
      <c r="M309" s="87"/>
      <c r="N309" s="87"/>
      <c r="O309" s="87"/>
      <c r="P309" s="87"/>
      <c r="Q309" s="87"/>
      <c r="R309" s="87"/>
      <c r="S309" s="87"/>
      <c r="V309" s="22">
        <v>0</v>
      </c>
      <c r="W309" s="17">
        <f t="shared" ref="W309" si="1369">+U309+V309</f>
        <v>0</v>
      </c>
      <c r="X309" s="108">
        <f t="shared" si="1203"/>
        <v>0</v>
      </c>
      <c r="Y309" s="108">
        <f t="shared" si="1204"/>
        <v>0</v>
      </c>
      <c r="Z309" s="108"/>
      <c r="AA309" s="108"/>
      <c r="AB309" s="108">
        <f t="shared" si="1205"/>
        <v>0</v>
      </c>
      <c r="AC309" s="109">
        <f t="shared" si="1206"/>
        <v>0</v>
      </c>
      <c r="AD309" s="108"/>
      <c r="AE309" s="108"/>
      <c r="AF309" s="108">
        <f t="shared" si="1209"/>
        <v>0</v>
      </c>
      <c r="AG309" s="108">
        <f t="shared" si="1210"/>
        <v>0</v>
      </c>
      <c r="AH309" s="108">
        <f t="shared" si="1211"/>
        <v>0</v>
      </c>
      <c r="AI309" s="127">
        <f t="shared" si="1212"/>
        <v>0</v>
      </c>
      <c r="AJ309" s="108">
        <f t="shared" si="1213"/>
        <v>0</v>
      </c>
      <c r="AM309" s="108">
        <f t="shared" si="1214"/>
        <v>0</v>
      </c>
      <c r="AN309" s="108">
        <f t="shared" si="1215"/>
        <v>0</v>
      </c>
      <c r="AQ309" s="108">
        <f t="shared" si="1216"/>
        <v>0</v>
      </c>
      <c r="AR309" s="108">
        <f t="shared" si="1217"/>
        <v>0</v>
      </c>
      <c r="AU309" s="108">
        <f t="shared" si="1326"/>
        <v>0</v>
      </c>
      <c r="AV309" s="108">
        <f t="shared" ref="AV309" si="1370">ROUND(AE309*30.5%,2)</f>
        <v>0</v>
      </c>
      <c r="AY309" s="108">
        <f t="shared" si="1218"/>
        <v>0</v>
      </c>
      <c r="AZ309" s="108">
        <f t="shared" si="1219"/>
        <v>0</v>
      </c>
      <c r="BA309" s="108">
        <f t="shared" si="1220"/>
        <v>0</v>
      </c>
      <c r="BD309" s="139">
        <f t="shared" si="1221"/>
        <v>0</v>
      </c>
      <c r="BE309" s="139">
        <f t="shared" si="1222"/>
        <v>0</v>
      </c>
      <c r="BF309" s="139">
        <f t="shared" si="1223"/>
        <v>0</v>
      </c>
      <c r="BG309" s="139">
        <f t="shared" si="1224"/>
        <v>0</v>
      </c>
      <c r="BH309" s="108">
        <v>0</v>
      </c>
      <c r="BI309" s="108">
        <v>0</v>
      </c>
      <c r="BL309" s="108">
        <f t="shared" si="1364"/>
        <v>0</v>
      </c>
      <c r="BM309" s="108">
        <f t="shared" si="1262"/>
        <v>0</v>
      </c>
      <c r="BN309" s="108">
        <f t="shared" si="1263"/>
        <v>0</v>
      </c>
      <c r="BP309" s="127"/>
      <c r="BQ309" s="108">
        <f t="shared" si="1264"/>
        <v>0</v>
      </c>
      <c r="BR309" s="108">
        <f t="shared" si="1265"/>
        <v>0</v>
      </c>
      <c r="BS309" s="108">
        <f t="shared" si="1266"/>
        <v>0</v>
      </c>
      <c r="BT309" s="108">
        <f t="shared" si="1267"/>
        <v>0</v>
      </c>
      <c r="BU309" s="108">
        <f t="shared" si="1297"/>
        <v>0</v>
      </c>
      <c r="BV309" s="108">
        <f t="shared" si="1362"/>
        <v>0</v>
      </c>
      <c r="CA309" s="108">
        <v>0</v>
      </c>
      <c r="CB309" s="108">
        <v>0</v>
      </c>
      <c r="CC309">
        <v>0</v>
      </c>
      <c r="CD309">
        <v>0</v>
      </c>
      <c r="CE309" s="194">
        <v>0</v>
      </c>
      <c r="CF309" s="194">
        <v>0</v>
      </c>
      <c r="CG309" s="194">
        <f t="shared" si="1268"/>
        <v>0</v>
      </c>
      <c r="CH309" s="194">
        <f t="shared" si="1269"/>
        <v>0</v>
      </c>
      <c r="CI309" s="150"/>
      <c r="CJ309" s="150"/>
      <c r="CK309" s="150"/>
      <c r="CL309" s="150"/>
      <c r="CM309" s="150"/>
      <c r="CN309" s="150"/>
      <c r="CO309" s="150"/>
      <c r="CP309" s="150"/>
      <c r="CQ309" s="150">
        <f t="shared" si="1270"/>
        <v>0</v>
      </c>
      <c r="CR309" s="150">
        <f t="shared" si="1271"/>
        <v>0</v>
      </c>
      <c r="CS309" s="150">
        <f t="shared" si="1272"/>
        <v>0</v>
      </c>
      <c r="CT309" s="150">
        <f t="shared" si="1273"/>
        <v>0</v>
      </c>
      <c r="CU309" s="150"/>
      <c r="CV309" s="150"/>
      <c r="CW309" s="150">
        <f t="shared" si="1276"/>
        <v>0</v>
      </c>
      <c r="CX309" s="150">
        <f t="shared" si="1290"/>
        <v>0</v>
      </c>
      <c r="CY309" s="150"/>
      <c r="CZ309" s="150"/>
      <c r="DA309" s="150">
        <f t="shared" si="1277"/>
        <v>0</v>
      </c>
      <c r="DB309" s="150">
        <f t="shared" si="1278"/>
        <v>0</v>
      </c>
      <c r="DC309" s="150"/>
      <c r="DD309" s="150"/>
      <c r="DE309" s="150">
        <f t="shared" si="1279"/>
        <v>0</v>
      </c>
      <c r="DF309" s="150">
        <f t="shared" si="1280"/>
        <v>0</v>
      </c>
      <c r="DG309" s="150">
        <f>ROUND(0.25*(MIN(CU309,DO309)),2)</f>
        <v>0</v>
      </c>
      <c r="DH309" s="150">
        <f>ROUND(0.25*(MIN(CV309,DP309)),2)</f>
        <v>0</v>
      </c>
      <c r="DI309" s="150">
        <f>+DG309-DE309</f>
        <v>0</v>
      </c>
      <c r="DJ309" s="150">
        <f>+DH309-DF309</f>
        <v>0</v>
      </c>
      <c r="DK309" s="104">
        <f t="shared" si="1157"/>
        <v>0</v>
      </c>
      <c r="DL309" s="104">
        <f t="shared" si="1158"/>
        <v>0</v>
      </c>
      <c r="DM309" s="104">
        <f t="shared" si="1246"/>
        <v>0</v>
      </c>
      <c r="DN309" s="104">
        <f t="shared" si="1247"/>
        <v>0</v>
      </c>
    </row>
    <row r="310" spans="1:126" ht="20.45" customHeight="1">
      <c r="A310" s="45"/>
      <c r="B310" s="45"/>
      <c r="C310" s="46"/>
      <c r="D310" s="47" t="s">
        <v>518</v>
      </c>
      <c r="E310" s="48"/>
      <c r="F310" s="65">
        <f t="shared" ref="F310:AA310" si="1371">+F309+F308+F290+F288+F271+F265+F262+F240+F223+F225+F185+F135+F89</f>
        <v>352311.57</v>
      </c>
      <c r="G310" s="65">
        <f t="shared" si="1371"/>
        <v>122515.5</v>
      </c>
      <c r="H310" s="65">
        <f t="shared" si="1371"/>
        <v>357393.36</v>
      </c>
      <c r="I310" s="65">
        <f t="shared" si="1371"/>
        <v>123459.09999999999</v>
      </c>
      <c r="J310" s="97" t="e">
        <f t="shared" si="1371"/>
        <v>#REF!</v>
      </c>
      <c r="K310" s="97" t="e">
        <f t="shared" si="1371"/>
        <v>#REF!</v>
      </c>
      <c r="L310" s="97" t="e">
        <f t="shared" si="1371"/>
        <v>#REF!</v>
      </c>
      <c r="M310" s="97" t="e">
        <f t="shared" si="1371"/>
        <v>#REF!</v>
      </c>
      <c r="N310" s="97" t="e">
        <f t="shared" si="1371"/>
        <v>#REF!</v>
      </c>
      <c r="O310" s="97" t="e">
        <f t="shared" si="1371"/>
        <v>#REF!</v>
      </c>
      <c r="P310" s="97" t="e">
        <f t="shared" si="1371"/>
        <v>#REF!</v>
      </c>
      <c r="Q310" s="97" t="e">
        <f t="shared" si="1371"/>
        <v>#REF!</v>
      </c>
      <c r="R310" s="97" t="e">
        <f t="shared" si="1371"/>
        <v>#REF!</v>
      </c>
      <c r="S310" s="97" t="e">
        <f t="shared" si="1371"/>
        <v>#REF!</v>
      </c>
      <c r="T310" s="97" t="e">
        <f t="shared" si="1371"/>
        <v>#REF!</v>
      </c>
      <c r="U310" s="97" t="e">
        <f t="shared" si="1371"/>
        <v>#REF!</v>
      </c>
      <c r="V310" s="97" t="e">
        <f t="shared" si="1371"/>
        <v>#REF!</v>
      </c>
      <c r="W310" s="97" t="e">
        <f t="shared" si="1371"/>
        <v>#REF!</v>
      </c>
      <c r="X310" s="97" t="e">
        <f t="shared" si="1371"/>
        <v>#REF!</v>
      </c>
      <c r="Y310" s="97" t="e">
        <f t="shared" si="1371"/>
        <v>#REF!</v>
      </c>
      <c r="Z310" s="97" t="e">
        <f t="shared" si="1371"/>
        <v>#REF!</v>
      </c>
      <c r="AA310" s="97" t="e">
        <f t="shared" si="1371"/>
        <v>#REF!</v>
      </c>
      <c r="AB310" s="65" t="e">
        <f t="shared" si="1205"/>
        <v>#REF!</v>
      </c>
      <c r="AC310" s="109" t="e">
        <f t="shared" si="1206"/>
        <v>#REF!</v>
      </c>
      <c r="AD310" s="65">
        <f t="shared" ref="AD310:CQ310" si="1372">+AD309+AD308+AD290+AD288+AD271+AD265+AD262+AD240+AD223+AD225+AD185+AD135+AD89</f>
        <v>369772.68000000005</v>
      </c>
      <c r="AE310" s="65">
        <f t="shared" si="1372"/>
        <v>126302.93</v>
      </c>
      <c r="AF310" s="65">
        <f t="shared" si="1372"/>
        <v>126790.1</v>
      </c>
      <c r="AG310" s="65">
        <f t="shared" si="1372"/>
        <v>92220</v>
      </c>
      <c r="AH310" s="65">
        <f t="shared" si="1372"/>
        <v>31505</v>
      </c>
      <c r="AI310" s="65">
        <f t="shared" si="1372"/>
        <v>30738</v>
      </c>
      <c r="AJ310" s="65">
        <f t="shared" si="1372"/>
        <v>10498</v>
      </c>
      <c r="AK310" s="65">
        <f t="shared" si="1372"/>
        <v>406.85</v>
      </c>
      <c r="AL310" s="65">
        <f t="shared" si="1372"/>
        <v>1554.6</v>
      </c>
      <c r="AM310" s="65">
        <f t="shared" si="1372"/>
        <v>92389.25</v>
      </c>
      <c r="AN310" s="65">
        <f t="shared" si="1372"/>
        <v>30710.399999999998</v>
      </c>
      <c r="AO310" s="65">
        <f t="shared" si="1372"/>
        <v>46.65</v>
      </c>
      <c r="AP310" s="65">
        <f t="shared" si="1372"/>
        <v>54.989999999999995</v>
      </c>
      <c r="AQ310" s="65">
        <f t="shared" si="1372"/>
        <v>185062.75000000003</v>
      </c>
      <c r="AR310" s="65">
        <f t="shared" si="1372"/>
        <v>63824.990000000005</v>
      </c>
      <c r="AS310" s="65">
        <f t="shared" si="1372"/>
        <v>699.64</v>
      </c>
      <c r="AT310" s="65">
        <f t="shared" si="1372"/>
        <v>432</v>
      </c>
      <c r="AU310" s="65">
        <f t="shared" si="1372"/>
        <v>92231.890000000014</v>
      </c>
      <c r="AV310" s="65">
        <f t="shared" si="1372"/>
        <v>34024.450000000004</v>
      </c>
      <c r="AW310" s="65">
        <f t="shared" si="1372"/>
        <v>1369.22</v>
      </c>
      <c r="AX310" s="65">
        <f t="shared" si="1372"/>
        <v>5602.25</v>
      </c>
      <c r="AY310" s="65">
        <f t="shared" si="1372"/>
        <v>310101.5</v>
      </c>
      <c r="AZ310" s="65">
        <f t="shared" si="1372"/>
        <v>114381.69</v>
      </c>
      <c r="BA310" s="65">
        <f t="shared" si="1372"/>
        <v>424483.19</v>
      </c>
      <c r="BB310" s="65">
        <f t="shared" si="1372"/>
        <v>294877.33</v>
      </c>
      <c r="BC310" s="65">
        <f t="shared" si="1372"/>
        <v>111869.38999999998</v>
      </c>
      <c r="BD310" s="65">
        <f t="shared" si="1372"/>
        <v>15224.170000000004</v>
      </c>
      <c r="BE310" s="65">
        <f t="shared" si="1372"/>
        <v>2512.300000000002</v>
      </c>
      <c r="BF310" s="65">
        <f t="shared" si="1372"/>
        <v>58975.46</v>
      </c>
      <c r="BG310" s="65">
        <f t="shared" si="1372"/>
        <v>22373.910000000003</v>
      </c>
      <c r="BH310" s="65">
        <f t="shared" si="1372"/>
        <v>23193.55</v>
      </c>
      <c r="BI310" s="65">
        <f t="shared" si="1372"/>
        <v>9804.75</v>
      </c>
      <c r="BJ310" s="65">
        <f t="shared" si="1372"/>
        <v>23000.13</v>
      </c>
      <c r="BK310" s="65">
        <f t="shared" si="1372"/>
        <v>1046.3399999999999</v>
      </c>
      <c r="BL310" s="65">
        <f t="shared" si="1372"/>
        <v>356295.18</v>
      </c>
      <c r="BM310" s="65">
        <f t="shared" si="1372"/>
        <v>125232.77999999998</v>
      </c>
      <c r="BN310" s="65">
        <f t="shared" si="1372"/>
        <v>485235.48</v>
      </c>
      <c r="BO310" s="65">
        <f t="shared" si="1372"/>
        <v>340022.06000000006</v>
      </c>
      <c r="BP310" s="129">
        <f t="shared" si="1372"/>
        <v>123811.61999999998</v>
      </c>
      <c r="BQ310" s="65">
        <f t="shared" si="1372"/>
        <v>16273.120000000003</v>
      </c>
      <c r="BR310" s="65">
        <f t="shared" si="1372"/>
        <v>1421.1600000000003</v>
      </c>
      <c r="BS310" s="65">
        <f t="shared" si="1372"/>
        <v>30911.149999999998</v>
      </c>
      <c r="BT310" s="65">
        <f t="shared" si="1372"/>
        <v>11255.619999999999</v>
      </c>
      <c r="BU310" s="65">
        <f t="shared" si="1372"/>
        <v>18802.5</v>
      </c>
      <c r="BV310" s="65">
        <f t="shared" si="1372"/>
        <v>9634.2199999999993</v>
      </c>
      <c r="BW310" s="65">
        <f t="shared" si="1372"/>
        <v>19699.320000000003</v>
      </c>
      <c r="BX310" s="65">
        <f t="shared" si="1372"/>
        <v>3600</v>
      </c>
      <c r="BY310" s="65">
        <f t="shared" si="1372"/>
        <v>480.96</v>
      </c>
      <c r="BZ310" s="65">
        <f t="shared" si="1372"/>
        <v>480.96</v>
      </c>
      <c r="CA310" s="65">
        <f t="shared" si="1372"/>
        <v>394797</v>
      </c>
      <c r="CB310" s="65">
        <f t="shared" si="1372"/>
        <v>138467</v>
      </c>
      <c r="CC310" s="65">
        <f t="shared" si="1372"/>
        <v>434276.76</v>
      </c>
      <c r="CD310" s="65">
        <f t="shared" si="1372"/>
        <v>159237.08999999997</v>
      </c>
      <c r="CE310" s="190">
        <f t="shared" si="1372"/>
        <v>36414</v>
      </c>
      <c r="CF310" s="190">
        <f t="shared" si="1372"/>
        <v>14105</v>
      </c>
      <c r="CG310" s="190">
        <f t="shared" si="1372"/>
        <v>98699.37000000001</v>
      </c>
      <c r="CH310" s="196">
        <f t="shared" si="1372"/>
        <v>34616.83</v>
      </c>
      <c r="CI310" s="190">
        <f t="shared" si="1372"/>
        <v>0</v>
      </c>
      <c r="CJ310" s="190">
        <f t="shared" si="1372"/>
        <v>0</v>
      </c>
      <c r="CK310" s="190">
        <f t="shared" si="1372"/>
        <v>101242.32</v>
      </c>
      <c r="CL310" s="190">
        <f t="shared" si="1372"/>
        <v>35768.5</v>
      </c>
      <c r="CM310" s="190">
        <f t="shared" si="1372"/>
        <v>624</v>
      </c>
      <c r="CN310" s="190">
        <f t="shared" si="1372"/>
        <v>1843.7</v>
      </c>
      <c r="CO310" s="190">
        <f t="shared" si="1372"/>
        <v>425715.27999999997</v>
      </c>
      <c r="CP310" s="190">
        <f t="shared" si="1372"/>
        <v>148096.91999999998</v>
      </c>
      <c r="CQ310" s="190">
        <f t="shared" si="1372"/>
        <v>404969.28</v>
      </c>
      <c r="CR310" s="190">
        <f t="shared" ref="CR310:DV310" si="1373">+CR309+CR308+CR290+CR288+CR271+CR265+CR262+CR240+CR223+CR225+CR185+CR135+CR89</f>
        <v>144884.32</v>
      </c>
      <c r="CS310" s="190">
        <f t="shared" si="1373"/>
        <v>392650</v>
      </c>
      <c r="CT310" s="190">
        <f t="shared" si="1373"/>
        <v>139342</v>
      </c>
      <c r="CU310" s="190">
        <f t="shared" si="1373"/>
        <v>406220.85</v>
      </c>
      <c r="CV310" s="190">
        <f t="shared" si="1373"/>
        <v>145656.95000000001</v>
      </c>
      <c r="CW310" s="190">
        <f t="shared" si="1373"/>
        <v>100670</v>
      </c>
      <c r="CX310" s="190">
        <f t="shared" si="1373"/>
        <v>33752</v>
      </c>
      <c r="CY310" s="190">
        <f t="shared" si="1373"/>
        <v>1253.24</v>
      </c>
      <c r="CZ310" s="190">
        <f t="shared" si="1373"/>
        <v>4367.6200000000008</v>
      </c>
      <c r="DA310" s="190">
        <f t="shared" si="1373"/>
        <v>240203.56</v>
      </c>
      <c r="DB310" s="190">
        <f t="shared" si="1373"/>
        <v>89836.82</v>
      </c>
      <c r="DC310" s="190">
        <f t="shared" si="1373"/>
        <v>225894.21</v>
      </c>
      <c r="DD310" s="190">
        <f t="shared" si="1373"/>
        <v>85413.459999999992</v>
      </c>
      <c r="DE310" s="190">
        <f t="shared" si="1373"/>
        <v>14309.349999999999</v>
      </c>
      <c r="DF310" s="190">
        <f t="shared" si="1373"/>
        <v>4423.3600000000015</v>
      </c>
      <c r="DG310" s="190">
        <f t="shared" si="1373"/>
        <v>100300.84000000001</v>
      </c>
      <c r="DH310" s="190">
        <f t="shared" si="1373"/>
        <v>35748.559999999998</v>
      </c>
      <c r="DI310" s="190">
        <f t="shared" si="1373"/>
        <v>88026</v>
      </c>
      <c r="DJ310" s="190">
        <f t="shared" si="1373"/>
        <v>31579</v>
      </c>
      <c r="DK310" s="104">
        <f t="shared" si="1157"/>
        <v>86990.529849999992</v>
      </c>
      <c r="DL310" s="104">
        <f t="shared" si="1158"/>
        <v>34621.5</v>
      </c>
      <c r="DM310" s="104">
        <f t="shared" si="1246"/>
        <v>77991.289999999979</v>
      </c>
      <c r="DN310" s="104">
        <f t="shared" si="1247"/>
        <v>24241.130000000005</v>
      </c>
      <c r="DO310" s="65">
        <f t="shared" si="1373"/>
        <v>415220.08984999999</v>
      </c>
      <c r="DP310" s="65">
        <f t="shared" si="1373"/>
        <v>156037.32</v>
      </c>
      <c r="DQ310" s="65">
        <f t="shared" si="1373"/>
        <v>452982.36</v>
      </c>
      <c r="DR310" s="65">
        <f t="shared" si="1373"/>
        <v>164311.14000000001</v>
      </c>
      <c r="DS310" s="65">
        <f t="shared" si="1373"/>
        <v>495.23</v>
      </c>
      <c r="DT310" s="65">
        <f t="shared" si="1373"/>
        <v>495.23</v>
      </c>
      <c r="DU310" s="65">
        <f t="shared" si="1373"/>
        <v>0</v>
      </c>
      <c r="DV310" s="65">
        <f t="shared" si="1373"/>
        <v>0</v>
      </c>
    </row>
    <row r="311" spans="1:126">
      <c r="AJ311" s="108" t="e">
        <f>+#REF!-#REF!</f>
        <v>#REF!</v>
      </c>
    </row>
  </sheetData>
  <sheetProtection password="C6B2" sheet="1" objects="1" scenarios="1"/>
  <autoFilter ref="CW1:CW325"/>
  <mergeCells count="37">
    <mergeCell ref="DK3:DL3"/>
    <mergeCell ref="DM3:DN3"/>
    <mergeCell ref="AG3:AH3"/>
    <mergeCell ref="AI3:AJ3"/>
    <mergeCell ref="CM3:CN3"/>
    <mergeCell ref="CG3:CH3"/>
    <mergeCell ref="CK3:CL3"/>
    <mergeCell ref="AQ3:AR3"/>
    <mergeCell ref="AK3:AL3"/>
    <mergeCell ref="AY3:BA3"/>
    <mergeCell ref="BW3:BX3"/>
    <mergeCell ref="AW3:AX3"/>
    <mergeCell ref="AU3:AV3"/>
    <mergeCell ref="BU3:BV3"/>
    <mergeCell ref="CS3:CT3"/>
    <mergeCell ref="CO3:CP3"/>
    <mergeCell ref="CQ3:CR3"/>
    <mergeCell ref="DI3:DJ3"/>
    <mergeCell ref="DG3:DH3"/>
    <mergeCell ref="CE2:CF2"/>
    <mergeCell ref="AS3:AT3"/>
    <mergeCell ref="BL3:BN3"/>
    <mergeCell ref="CA3:CB3"/>
    <mergeCell ref="BH3:BI3"/>
    <mergeCell ref="DA3:DB3"/>
    <mergeCell ref="DC3:DD3"/>
    <mergeCell ref="CU3:CV3"/>
    <mergeCell ref="CY3:CZ3"/>
    <mergeCell ref="F2:G2"/>
    <mergeCell ref="AD3:AE3"/>
    <mergeCell ref="V3:W3"/>
    <mergeCell ref="X3:Y3"/>
    <mergeCell ref="J3:M3"/>
    <mergeCell ref="N3:Q3"/>
    <mergeCell ref="J2:S2"/>
    <mergeCell ref="R3:S3"/>
    <mergeCell ref="Z3:AB3"/>
  </mergeCells>
  <conditionalFormatting sqref="M88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O290:DV290 X289:AA289 X291:AA307 X8:AB9 X11:AB12 X14:AB15 X17:AB23 X25:AB25 X27:AB28 X30:AB32 X34:AB35 X37:AB38 X40:AB42 X46:AB48 X50:AB51 X53:AB55 X57:AB58 X60:AB61 X63:AB64 X66:AB67 X69:AB70 X76:AB78 X80:AB81 X83:AB84 X91:AB92 X96:AB97 X99:AB100 X102:AB103 X105:AB106 X108:AB109 X111:AB112 X115:AB116 X120:AB121 X123:AB124 X132:AB133 X137:AB138 X140:AB141 X143:AB145 X147:AB155 X158:AB159 X162:AB163 X166:AB167 X171:AB173 X177:AB178 X181:AB183 X186:AB186 X188:AB190 X193:AB194 X199:AB204 X207:AB208 X210:AB212 X215:AB216 X218:AB220 X224:AB224 X226:AB227 X233:AB234 X236:AB237 X241:AB247 X249:AB252 X254:AB255 X257:AB259 X267:AB268 X272:AB285 X287:AB287 X309:AB309 AB289:AB307 X5:AB6 AC5:AC55 X72:AB74 AC57:AC310 AD290:DJ290">
    <cfRule type="cellIs" dxfId="0" priority="5" operator="lessThan">
      <formula>0</formula>
    </cfRule>
  </conditionalFormatting>
  <pageMargins left="0.7" right="0.7" top="0.75" bottom="0.75" header="0.3" footer="0.3"/>
  <pageSetup scale="60" orientation="portrait" r:id="rId1"/>
  <colBreaks count="2" manualBreakCount="2">
    <brk id="77" max="316" man="1"/>
    <brk id="92" max="31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2022-10-20T09:22:38Z</dcterms:modified>
</cp:coreProperties>
</file>